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 activeTab="1"/>
  </bookViews>
  <sheets>
    <sheet name="gado paga 100% desp operacional" sheetId="1" r:id="rId1"/>
    <sheet name="de 6 em 6 meses" sheetId="5" r:id="rId2"/>
    <sheet name="Gráf1" sheetId="8" r:id="rId3"/>
    <sheet name="Plan1" sheetId="6" r:id="rId4"/>
    <sheet name="Plan2" sheetId="7" r:id="rId5"/>
  </sheets>
  <calcPr calcId="124519"/>
</workbook>
</file>

<file path=xl/calcChain.xml><?xml version="1.0" encoding="utf-8"?>
<calcChain xmlns="http://schemas.openxmlformats.org/spreadsheetml/2006/main">
  <c r="G30" i="5"/>
  <c r="R16" l="1"/>
  <c r="R36" l="1"/>
  <c r="G36"/>
  <c r="F36"/>
  <c r="E36"/>
  <c r="D36"/>
  <c r="C36"/>
  <c r="B36"/>
  <c r="R35"/>
  <c r="Q35"/>
  <c r="Q39" s="1"/>
  <c r="P35"/>
  <c r="P39" s="1"/>
  <c r="O35"/>
  <c r="O39" s="1"/>
  <c r="N35"/>
  <c r="N39" s="1"/>
  <c r="M35"/>
  <c r="M39" s="1"/>
  <c r="L35"/>
  <c r="L39" s="1"/>
  <c r="H35"/>
  <c r="G35"/>
  <c r="F35"/>
  <c r="E35"/>
  <c r="D35"/>
  <c r="C35"/>
  <c r="B35"/>
  <c r="Q30"/>
  <c r="P30"/>
  <c r="O30"/>
  <c r="N30"/>
  <c r="L30"/>
  <c r="F30"/>
  <c r="E30"/>
  <c r="C30"/>
  <c r="B30"/>
  <c r="M30"/>
  <c r="D30"/>
  <c r="C39" l="1"/>
  <c r="C41" s="1"/>
  <c r="G39"/>
  <c r="G41" s="1"/>
  <c r="B39"/>
  <c r="B41" s="1"/>
  <c r="B43" s="1"/>
  <c r="F39"/>
  <c r="F41" s="1"/>
  <c r="E39"/>
  <c r="E41" s="1"/>
  <c r="D39"/>
  <c r="D41" s="1"/>
  <c r="Q41"/>
  <c r="R39"/>
  <c r="R41" s="1"/>
  <c r="M41"/>
  <c r="O41"/>
  <c r="N41"/>
  <c r="P41"/>
  <c r="S30"/>
  <c r="L41"/>
  <c r="I30"/>
  <c r="H36"/>
  <c r="H39" s="1"/>
  <c r="S39" l="1"/>
  <c r="H41"/>
  <c r="I39"/>
  <c r="Q15" l="1"/>
  <c r="Q16" s="1"/>
  <c r="P15"/>
  <c r="P16" s="1"/>
  <c r="P19" s="1"/>
  <c r="O15"/>
  <c r="O16" s="1"/>
  <c r="N15"/>
  <c r="N16" s="1"/>
  <c r="M15"/>
  <c r="M16" s="1"/>
  <c r="L15"/>
  <c r="L16" s="1"/>
  <c r="Q19"/>
  <c r="N19"/>
  <c r="H15"/>
  <c r="H16" s="1"/>
  <c r="G16"/>
  <c r="F16"/>
  <c r="E16"/>
  <c r="D16"/>
  <c r="C16"/>
  <c r="B16"/>
  <c r="G15"/>
  <c r="F15"/>
  <c r="E15"/>
  <c r="E19" s="1"/>
  <c r="D15"/>
  <c r="C15"/>
  <c r="B15"/>
  <c r="F19" l="1"/>
  <c r="D19"/>
  <c r="C19"/>
  <c r="G19"/>
  <c r="L19"/>
  <c r="M19"/>
  <c r="O19"/>
  <c r="B19"/>
  <c r="H19"/>
  <c r="H21" s="1"/>
  <c r="R19"/>
  <c r="R21" s="1"/>
  <c r="Q10"/>
  <c r="P10"/>
  <c r="P21" s="1"/>
  <c r="O10"/>
  <c r="N10"/>
  <c r="N21" s="1"/>
  <c r="L10"/>
  <c r="L21" s="1"/>
  <c r="M10"/>
  <c r="B10"/>
  <c r="G10"/>
  <c r="F10"/>
  <c r="E10"/>
  <c r="D10"/>
  <c r="M21" l="1"/>
  <c r="E21"/>
  <c r="G21"/>
  <c r="D21"/>
  <c r="O21"/>
  <c r="Q21"/>
  <c r="F21"/>
  <c r="B21"/>
  <c r="B23" s="1"/>
  <c r="S19"/>
  <c r="S10"/>
  <c r="I19"/>
  <c r="C10"/>
  <c r="C21" s="1"/>
  <c r="I10" l="1"/>
  <c r="E15" i="6"/>
  <c r="E16" s="1"/>
  <c r="E14"/>
  <c r="E13"/>
  <c r="A13"/>
  <c r="A14" s="1"/>
  <c r="A15" s="1"/>
  <c r="A16" s="1"/>
  <c r="A17" s="1"/>
  <c r="A18" s="1"/>
  <c r="A19" s="1"/>
  <c r="A20" s="1"/>
  <c r="C22"/>
  <c r="F15"/>
  <c r="L15" s="1"/>
  <c r="F14"/>
  <c r="I14" s="1"/>
  <c r="F13"/>
  <c r="L13" s="1"/>
  <c r="F12"/>
  <c r="F16" l="1"/>
  <c r="I16" s="1"/>
  <c r="E17"/>
  <c r="I13"/>
  <c r="I15"/>
  <c r="L12"/>
  <c r="L14"/>
  <c r="L16"/>
  <c r="I12"/>
  <c r="C25" i="1"/>
  <c r="L55"/>
  <c r="L53"/>
  <c r="H53"/>
  <c r="H52"/>
  <c r="L52"/>
  <c r="L48"/>
  <c r="L47"/>
  <c r="L43"/>
  <c r="H43"/>
  <c r="L41"/>
  <c r="H41"/>
  <c r="L37"/>
  <c r="H37"/>
  <c r="H36"/>
  <c r="L33"/>
  <c r="L32"/>
  <c r="L39"/>
  <c r="L38"/>
  <c r="L36"/>
  <c r="H33"/>
  <c r="H39"/>
  <c r="H38"/>
  <c r="H32"/>
  <c r="B26"/>
  <c r="B28" s="1"/>
  <c r="K26"/>
  <c r="K28" s="1"/>
  <c r="H26"/>
  <c r="H28" s="1"/>
  <c r="E26"/>
  <c r="E28" s="1"/>
  <c r="C23" i="5" l="1"/>
  <c r="D23" s="1"/>
  <c r="E18" i="6"/>
  <c r="F17"/>
  <c r="L45" i="1"/>
  <c r="B32"/>
  <c r="B40" s="1"/>
  <c r="B44" s="1"/>
  <c r="B35"/>
  <c r="E23" i="5" l="1"/>
  <c r="F23" s="1"/>
  <c r="G23" s="1"/>
  <c r="H23" s="1"/>
  <c r="L23" s="1"/>
  <c r="M23" s="1"/>
  <c r="N23" s="1"/>
  <c r="O23" s="1"/>
  <c r="P23" s="1"/>
  <c r="Q23" s="1"/>
  <c r="R23" s="1"/>
  <c r="U24"/>
  <c r="L17" i="6"/>
  <c r="I17"/>
  <c r="F18"/>
  <c r="E19"/>
  <c r="C43" i="5" l="1"/>
  <c r="D43" s="1"/>
  <c r="E43" s="1"/>
  <c r="U44" s="1"/>
  <c r="E20" i="6"/>
  <c r="F20" s="1"/>
  <c r="F19"/>
  <c r="I18"/>
  <c r="L18"/>
  <c r="F43" i="5" l="1"/>
  <c r="G43" s="1"/>
  <c r="H43" s="1"/>
  <c r="L43" s="1"/>
  <c r="M43" s="1"/>
  <c r="N43" s="1"/>
  <c r="O43" s="1"/>
  <c r="P43" s="1"/>
  <c r="Q43" s="1"/>
  <c r="R43" s="1"/>
  <c r="I20" i="6"/>
  <c r="L20"/>
  <c r="L19"/>
  <c r="L22" s="1"/>
  <c r="I19"/>
  <c r="F22"/>
  <c r="I22" l="1"/>
</calcChain>
</file>

<file path=xl/comments1.xml><?xml version="1.0" encoding="utf-8"?>
<comments xmlns="http://schemas.openxmlformats.org/spreadsheetml/2006/main">
  <authors>
    <author>Leonardo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GADO
40% da m.o. para gado(80% do tempo do ilmo)</t>
        </r>
        <r>
          <rPr>
            <sz val="9"/>
            <color indexed="81"/>
            <rFont val="Tahoma"/>
            <family val="2"/>
          </rPr>
          <t xml:space="preserve">
EUC MANUT
10% da m.o. para form rateio(20% do tempo do ilmo)
ADM
25% da m.o. para adm (50% do tempo do julio)
EUC LIQ (valor não vai pesar pis vai ser abatido da receita bruta)
25% da m.o. para euc conducao pos corte (50% tempo do julio)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GADO
40% da m.o. para gado(80% do tempo do ilmo)</t>
        </r>
        <r>
          <rPr>
            <sz val="9"/>
            <color indexed="81"/>
            <rFont val="Tahoma"/>
            <family val="2"/>
          </rPr>
          <t xml:space="preserve">
EUC MANUT
10% da m.o. para form rateio(20% do tempo do ilmo)
ADM
25% da m.o. para adm (50% do tempo do julio)
EUC LIQ (valor não vai pesar pis vai ser abatido da receita bruta)
25% da m.o. para euc conducao pos corte (50% tempo do julio)</t>
        </r>
      </text>
    </comment>
    <comment ref="H41" authorId="0">
      <text>
        <r>
          <rPr>
            <sz val="9"/>
            <color indexed="81"/>
            <rFont val="Tahoma"/>
            <family val="2"/>
          </rPr>
          <t xml:space="preserve">GADO
40% da m.o. para gado(80% do tempo do ilmo)
</t>
        </r>
        <r>
          <rPr>
            <b/>
            <sz val="9"/>
            <color indexed="81"/>
            <rFont val="Tahoma"/>
            <family val="2"/>
          </rPr>
          <t>EUC MANUT
10% da m.o. para form rateio(20% do tempo do ilmo)
ADM
25% da m.o. para adm (50% do tempo do julio)</t>
        </r>
        <r>
          <rPr>
            <sz val="9"/>
            <color indexed="81"/>
            <rFont val="Tahoma"/>
            <family val="2"/>
          </rPr>
          <t xml:space="preserve">
EUC LIQ (valor não vai pesar pis vai ser abatido da receita bruta)
25% da m.o. para euc conducao pos corte (50% tempo do julio)</t>
        </r>
      </text>
    </comment>
    <comment ref="L41" authorId="0">
      <text>
        <r>
          <rPr>
            <sz val="9"/>
            <color indexed="81"/>
            <rFont val="Tahoma"/>
            <family val="2"/>
          </rPr>
          <t xml:space="preserve">GADO
40% da m.o. para gado(80% do tempo do ilmo)
</t>
        </r>
        <r>
          <rPr>
            <b/>
            <sz val="9"/>
            <color indexed="81"/>
            <rFont val="Tahoma"/>
            <family val="2"/>
          </rPr>
          <t>EUC MANUT
10% da m.o. para form rateio(20% do tempo do ilmo)
ADM
25% da m.o. para adm (50% do tempo do julio)</t>
        </r>
        <r>
          <rPr>
            <sz val="9"/>
            <color indexed="81"/>
            <rFont val="Tahoma"/>
            <family val="2"/>
          </rPr>
          <t xml:space="preserve">
EUC LIQ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(valor não vai pesar pis vai ser abatido da receita bruta)
25% da m.o. para euc conducao pos corte (50% tempo do julio)</t>
        </r>
      </text>
    </comment>
    <comment ref="L47" authorId="0">
      <text>
        <r>
          <rPr>
            <sz val="9"/>
            <color indexed="81"/>
            <rFont val="Tahoma"/>
            <family val="2"/>
          </rPr>
          <t xml:space="preserve">GADO
40% da m.o. para gado(80% do tempo do ilmo)
EUC MANUT
10% da m.o. para form rateio(20% do tempo do ilmo)
ADM
25% da m.o. para adm (50% do tempo do julio)
</t>
        </r>
        <r>
          <rPr>
            <b/>
            <sz val="9"/>
            <color indexed="81"/>
            <rFont val="Tahoma"/>
            <family val="2"/>
          </rPr>
          <t>EUC LIQ (valor não vai pesar pis vai ser abatido da receita bruta)
25% da m.o. para euc conducao pos corte (50% tempo do julio)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reforma
50%
s usina
50%</t>
        </r>
      </text>
    </comment>
    <comment ref="L52" authorId="0">
      <text>
        <r>
          <rPr>
            <sz val="9"/>
            <color indexed="81"/>
            <rFont val="Tahoma"/>
            <family val="2"/>
          </rPr>
          <t>reforma
50%
s usina
50%</t>
        </r>
      </text>
    </comment>
  </commentList>
</comments>
</file>

<file path=xl/comments2.xml><?xml version="1.0" encoding="utf-8"?>
<comments xmlns="http://schemas.openxmlformats.org/spreadsheetml/2006/main">
  <authors>
    <author>Leonardo</author>
    <author>Samsung</author>
  </authors>
  <commentList>
    <comment ref="F8" authorId="0">
      <text>
        <r>
          <rPr>
            <sz val="8"/>
            <color indexed="81"/>
            <rFont val="Tahoma"/>
            <family val="2"/>
          </rPr>
          <t>98 prenhas
36 wagyu   =  32 desmames ok  x R$1.000  = 32.000
62 brangus =  56 desmames ok  x R$700    =  36.400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 xml:space="preserve">carq e p 24
</t>
        </r>
        <r>
          <rPr>
            <sz val="10"/>
            <color indexed="81"/>
            <rFont val="Tahoma"/>
            <family val="2"/>
          </rPr>
          <t xml:space="preserve">5.000
</t>
        </r>
        <r>
          <rPr>
            <u/>
            <sz val="10"/>
            <color indexed="81"/>
            <rFont val="Tahoma"/>
            <family val="2"/>
          </rPr>
          <t>- 2650</t>
        </r>
        <r>
          <rPr>
            <sz val="10"/>
            <color indexed="81"/>
            <rFont val="Tahoma"/>
            <family val="2"/>
          </rPr>
          <t xml:space="preserve"> já colhidos
2.350
x R$24,/st = 56.400 </t>
        </r>
      </text>
    </comment>
    <comment ref="E9" authorId="1">
      <text>
        <r>
          <rPr>
            <b/>
            <sz val="9"/>
            <color indexed="81"/>
            <rFont val="Tahoma"/>
            <family val="2"/>
          </rPr>
          <t xml:space="preserve">Rec colheita
</t>
        </r>
        <r>
          <rPr>
            <sz val="9"/>
            <color indexed="81"/>
            <rFont val="Tahoma"/>
            <family val="2"/>
          </rPr>
          <t xml:space="preserve">2.000 st x R$31,19 = R$62.380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carq e p 24
</t>
        </r>
        <r>
          <rPr>
            <sz val="10"/>
            <color indexed="81"/>
            <rFont val="Tahoma"/>
            <family val="2"/>
          </rPr>
          <t xml:space="preserve">5.000
</t>
        </r>
        <r>
          <rPr>
            <u/>
            <sz val="10"/>
            <color indexed="81"/>
            <rFont val="Tahoma"/>
            <family val="2"/>
          </rPr>
          <t>- 2650</t>
        </r>
        <r>
          <rPr>
            <sz val="10"/>
            <color indexed="81"/>
            <rFont val="Tahoma"/>
            <family val="2"/>
          </rPr>
          <t xml:space="preserve"> já colhidos
2.350
x R$24,/st = 56.400 </t>
        </r>
      </text>
    </comment>
    <comment ref="M9" authorId="1">
      <text>
        <r>
          <rPr>
            <b/>
            <sz val="9"/>
            <color indexed="81"/>
            <rFont val="Tahoma"/>
            <family val="2"/>
          </rPr>
          <t xml:space="preserve">Rec colheita
</t>
        </r>
        <r>
          <rPr>
            <sz val="9"/>
            <color indexed="81"/>
            <rFont val="Tahoma"/>
            <family val="2"/>
          </rPr>
          <t xml:space="preserve">2.000 st x R$31,19 = R$62.380
</t>
        </r>
        <r>
          <rPr>
            <b/>
            <sz val="9"/>
            <color indexed="81"/>
            <rFont val="Tahoma"/>
            <family val="2"/>
          </rPr>
          <t xml:space="preserve">Rec  madeira proj 2007
</t>
        </r>
        <r>
          <rPr>
            <sz val="9"/>
            <color indexed="81"/>
            <rFont val="Tahoma"/>
            <family val="2"/>
          </rPr>
          <t>1.232 st x R$27, = R$33.264</t>
        </r>
      </text>
    </comment>
    <comment ref="B11" authorId="1">
      <text>
        <r>
          <rPr>
            <sz val="9"/>
            <color indexed="81"/>
            <rFont val="Tahoma"/>
            <family val="2"/>
          </rPr>
          <t xml:space="preserve">400 st/mês x R$29,50 ( 31,19 - 1,69 saldo)
</t>
        </r>
        <r>
          <rPr>
            <b/>
            <sz val="9"/>
            <color indexed="81"/>
            <rFont val="Tahoma"/>
            <family val="2"/>
          </rPr>
          <t xml:space="preserve">
ou
450 st  x R$22</t>
        </r>
      </text>
    </comment>
    <comment ref="C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Q1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media do gado sem funcionario</t>
        </r>
      </text>
    </comment>
    <comment ref="L12" authorId="0">
      <text>
        <r>
          <rPr>
            <b/>
            <sz val="9"/>
            <color indexed="81"/>
            <rFont val="Tahoma"/>
            <charset val="1"/>
          </rPr>
          <t>media do gado sem funcionario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media do adm sem funcionario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media do adm sem funcionario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 xml:space="preserve">1.233
+
267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 xml:space="preserve">+ 6,66% aumento
1.233
+
267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 xml:space="preserve">1.233
+
267
</t>
        </r>
      </text>
    </comment>
    <comment ref="F28" authorId="0">
      <text>
        <r>
          <rPr>
            <sz val="9"/>
            <color indexed="81"/>
            <rFont val="Tahoma"/>
            <family val="2"/>
          </rPr>
          <t xml:space="preserve">100 bezerros
15 fem para reposicao
</t>
        </r>
        <r>
          <rPr>
            <b/>
            <sz val="9"/>
            <color indexed="81"/>
            <rFont val="Tahoma"/>
            <family val="2"/>
          </rPr>
          <t xml:space="preserve">R$87.500 de venda </t>
        </r>
        <r>
          <rPr>
            <sz val="9"/>
            <color indexed="81"/>
            <rFont val="Tahoma"/>
            <family val="2"/>
          </rPr>
          <t xml:space="preserve">
35 bezerras        R$ 23.000
50 bezerros        R$ 46.000, (venda 25 waguyu)
15 vacas vazias    R$ 18.500,
tot matrizes 120 para 2015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 xml:space="preserve">carq e p 24
</t>
        </r>
        <r>
          <rPr>
            <sz val="10"/>
            <color indexed="81"/>
            <rFont val="Tahoma"/>
            <family val="2"/>
          </rPr>
          <t xml:space="preserve">5.000
</t>
        </r>
        <r>
          <rPr>
            <u/>
            <sz val="10"/>
            <color indexed="81"/>
            <rFont val="Tahoma"/>
            <family val="2"/>
          </rPr>
          <t>- 2650</t>
        </r>
        <r>
          <rPr>
            <sz val="10"/>
            <color indexed="81"/>
            <rFont val="Tahoma"/>
            <family val="2"/>
          </rPr>
          <t xml:space="preserve"> já colhidos
2.350
x R$24,/st = 56.400 </t>
        </r>
      </text>
    </comment>
    <comment ref="B29" authorId="1">
      <text>
        <r>
          <rPr>
            <b/>
            <sz val="9"/>
            <color indexed="81"/>
            <rFont val="Tahoma"/>
            <family val="2"/>
          </rPr>
          <t xml:space="preserve">Rec colheita
</t>
        </r>
        <r>
          <rPr>
            <sz val="9"/>
            <color indexed="81"/>
            <rFont val="Tahoma"/>
            <family val="2"/>
          </rPr>
          <t xml:space="preserve">2.000 st x R$31,19 = R$62.380
</t>
        </r>
      </text>
    </comment>
    <comment ref="G29" authorId="1">
      <text>
        <r>
          <rPr>
            <b/>
            <sz val="9"/>
            <color indexed="81"/>
            <rFont val="Tahoma"/>
            <family val="2"/>
          </rPr>
          <t xml:space="preserve">Rec colheita
</t>
        </r>
        <r>
          <rPr>
            <sz val="9"/>
            <color indexed="81"/>
            <rFont val="Tahoma"/>
            <family val="2"/>
          </rPr>
          <t xml:space="preserve">2.000 st x R$31,19 = R$62.380
</t>
        </r>
        <r>
          <rPr>
            <b/>
            <sz val="9"/>
            <color indexed="81"/>
            <rFont val="Tahoma"/>
            <family val="2"/>
          </rPr>
          <t xml:space="preserve">Rec  madeira proj 2007
</t>
        </r>
        <r>
          <rPr>
            <sz val="9"/>
            <color indexed="81"/>
            <rFont val="Tahoma"/>
            <family val="2"/>
          </rPr>
          <t>1.000 st x R$27, = R$27.0008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 xml:space="preserve">carq e p 24
</t>
        </r>
        <r>
          <rPr>
            <sz val="10"/>
            <color indexed="81"/>
            <rFont val="Tahoma"/>
            <family val="2"/>
          </rPr>
          <t xml:space="preserve">5.000
</t>
        </r>
        <r>
          <rPr>
            <u/>
            <sz val="10"/>
            <color indexed="81"/>
            <rFont val="Tahoma"/>
            <family val="2"/>
          </rPr>
          <t>- 2650</t>
        </r>
        <r>
          <rPr>
            <sz val="10"/>
            <color indexed="81"/>
            <rFont val="Tahoma"/>
            <family val="2"/>
          </rPr>
          <t xml:space="preserve"> já colhidos
2.350
x R$24,/st = 56.400 </t>
        </r>
      </text>
    </comment>
    <comment ref="P29" authorId="1">
      <text>
        <r>
          <rPr>
            <b/>
            <sz val="9"/>
            <color indexed="81"/>
            <rFont val="Tahoma"/>
            <family val="2"/>
          </rPr>
          <t>Rec colheita</t>
        </r>
        <r>
          <rPr>
            <sz val="9"/>
            <color indexed="81"/>
            <rFont val="Tahoma"/>
            <family val="2"/>
          </rPr>
          <t xml:space="preserve">
2.000 st x R$31,19 = R$62.380
+
544 st x R$31,19 = R$16.967,
</t>
        </r>
        <r>
          <rPr>
            <b/>
            <sz val="9"/>
            <color indexed="81"/>
            <rFont val="Tahoma"/>
            <family val="2"/>
          </rPr>
          <t>Rec  madeira proj 2007</t>
        </r>
        <r>
          <rPr>
            <sz val="9"/>
            <color indexed="81"/>
            <rFont val="Tahoma"/>
            <family val="2"/>
          </rPr>
          <t xml:space="preserve">
2.455 x R$27 = R$66.285</t>
        </r>
      </text>
    </comment>
    <comment ref="B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P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Q31" authorId="1">
      <text>
        <r>
          <rPr>
            <sz val="9"/>
            <color indexed="81"/>
            <rFont val="Tahoma"/>
            <family val="2"/>
          </rPr>
          <t>400 st/mês
x
R$29,50 ( 31,19 - 1,69 saldo)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charset val="1"/>
          </rPr>
          <t>media do gado sem funcionario</t>
        </r>
      </text>
    </comment>
    <comment ref="L32" authorId="0">
      <text>
        <r>
          <rPr>
            <b/>
            <sz val="9"/>
            <color indexed="81"/>
            <rFont val="Tahoma"/>
            <charset val="1"/>
          </rPr>
          <t>media do gado sem funcionario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media do adm sem funcionario</t>
        </r>
      </text>
    </comment>
    <comment ref="L33" authorId="0">
      <text>
        <r>
          <rPr>
            <b/>
            <sz val="9"/>
            <color indexed="81"/>
            <rFont val="Tahoma"/>
            <charset val="1"/>
          </rPr>
          <t>media do adm sem funcionario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 xml:space="preserve">+ 6,66% aumento
1.233
+
267
</t>
        </r>
      </text>
    </comment>
    <comment ref="L34" authorId="0">
      <text>
        <r>
          <rPr>
            <b/>
            <sz val="9"/>
            <color indexed="81"/>
            <rFont val="Tahoma"/>
            <charset val="1"/>
          </rPr>
          <t xml:space="preserve">+ 6,66% aumento
1.233
+
267
</t>
        </r>
      </text>
    </comment>
    <comment ref="B35" authorId="0">
      <text>
        <r>
          <rPr>
            <b/>
            <sz val="9"/>
            <color indexed="81"/>
            <rFont val="Tahoma"/>
            <charset val="1"/>
          </rPr>
          <t xml:space="preserve">1.233
+
267
</t>
        </r>
      </text>
    </comment>
    <comment ref="L35" authorId="0">
      <text>
        <r>
          <rPr>
            <b/>
            <sz val="9"/>
            <color indexed="81"/>
            <rFont val="Tahoma"/>
            <charset val="1"/>
          </rPr>
          <t xml:space="preserve">+ 6,66% aumento
1.233
+
267
</t>
        </r>
      </text>
    </comment>
    <comment ref="B36" authorId="0">
      <text>
        <r>
          <rPr>
            <b/>
            <sz val="9"/>
            <color indexed="81"/>
            <rFont val="Tahoma"/>
            <charset val="1"/>
          </rPr>
          <t xml:space="preserve">1.233
+
267
</t>
        </r>
      </text>
    </comment>
    <comment ref="L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  <comment ref="M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  <comment ref="N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  <comment ref="O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  <comment ref="P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  <comment ref="Q36" authorId="0">
      <text>
        <r>
          <rPr>
            <b/>
            <sz val="9"/>
            <color indexed="81"/>
            <rFont val="Tahoma"/>
            <charset val="1"/>
          </rPr>
          <t>edinho vai estar na desrama do euc</t>
        </r>
      </text>
    </comment>
  </commentList>
</comments>
</file>

<file path=xl/sharedStrings.xml><?xml version="1.0" encoding="utf-8"?>
<sst xmlns="http://schemas.openxmlformats.org/spreadsheetml/2006/main" count="199" uniqueCount="127">
  <si>
    <t>orçamento</t>
  </si>
  <si>
    <t>despesas de corte</t>
  </si>
  <si>
    <t>Empregados</t>
  </si>
  <si>
    <t>Turma</t>
  </si>
  <si>
    <t>outros</t>
  </si>
  <si>
    <t>rateio(recisao, férias 13º,...)</t>
  </si>
  <si>
    <t>Desp gerais que serão rateadas</t>
  </si>
  <si>
    <t>GADO</t>
  </si>
  <si>
    <t>alium</t>
  </si>
  <si>
    <t>Vermífico</t>
  </si>
  <si>
    <t>Vac. Aftosa</t>
  </si>
  <si>
    <t>Vac. Raiva / brucelose</t>
  </si>
  <si>
    <t>Medicamentos</t>
  </si>
  <si>
    <t>Manutenção</t>
  </si>
  <si>
    <t>Equipamentos</t>
  </si>
  <si>
    <t>Outros</t>
  </si>
  <si>
    <t>Total despesas</t>
  </si>
  <si>
    <t>Total por ano</t>
  </si>
  <si>
    <t>Empregados tot 2 func</t>
  </si>
  <si>
    <t>Cemig</t>
  </si>
  <si>
    <t>Claro</t>
  </si>
  <si>
    <t>Impostos</t>
  </si>
  <si>
    <t>Contadora</t>
  </si>
  <si>
    <t>Medicina trabalho / EPIs</t>
  </si>
  <si>
    <t>ferragem dos cavalos</t>
  </si>
  <si>
    <t>racao cachorros</t>
  </si>
  <si>
    <t>site</t>
  </si>
  <si>
    <t>café</t>
  </si>
  <si>
    <t>reforma casas/ rede eletr</t>
  </si>
  <si>
    <t>gasolina</t>
  </si>
  <si>
    <t>ipva + txs</t>
  </si>
  <si>
    <t>seguro carro</t>
  </si>
  <si>
    <t>oficina</t>
  </si>
  <si>
    <t>pneu</t>
  </si>
  <si>
    <t>ducha</t>
  </si>
  <si>
    <t>troca oleo</t>
  </si>
  <si>
    <t>ADM</t>
  </si>
  <si>
    <t>2 Funcionarios</t>
  </si>
  <si>
    <r>
      <t xml:space="preserve">Sal </t>
    </r>
    <r>
      <rPr>
        <sz val="8"/>
        <color rgb="FFFF0000"/>
        <rFont val="Arial"/>
        <family val="2"/>
      </rPr>
      <t>sem dar proteinado</t>
    </r>
  </si>
  <si>
    <t>OBS:</t>
  </si>
  <si>
    <t>1- no eucalipto  lancar somente despesa  com isca form , as demais vao ser abatidas diretamente da receita bruta e, dessa forma, vamos lancar so a receita liq</t>
  </si>
  <si>
    <t>eucalipto (antigo CAF)</t>
  </si>
  <si>
    <t>tot animais vendidos ano</t>
  </si>
  <si>
    <t>valor / animal</t>
  </si>
  <si>
    <t>total 2 func</t>
  </si>
  <si>
    <t>tot 3 func</t>
  </si>
  <si>
    <t>tot mae</t>
  </si>
  <si>
    <t>tot leo</t>
  </si>
  <si>
    <t>50% do ADM do gado</t>
  </si>
  <si>
    <t>35% do ADM do euc</t>
  </si>
  <si>
    <t>70% desp direta do gado</t>
  </si>
  <si>
    <t>100% m.o. gado</t>
  </si>
  <si>
    <t>60% do rateio do euc</t>
  </si>
  <si>
    <t>15% do ADM do euc</t>
  </si>
  <si>
    <t>40% do rateio do euc</t>
  </si>
  <si>
    <t>0% do ADM do gado</t>
  </si>
  <si>
    <t>30% desp direta do gado</t>
  </si>
  <si>
    <t>100% outras desp gado</t>
  </si>
  <si>
    <t>0% outras desp gado</t>
  </si>
  <si>
    <t>0% m.o. gado</t>
  </si>
  <si>
    <t>rateio restante da M.O.</t>
  </si>
  <si>
    <t>tot 1</t>
  </si>
  <si>
    <t>tot 2</t>
  </si>
  <si>
    <t>tot mae com edinho</t>
  </si>
  <si>
    <t>tot leo com edinho</t>
  </si>
  <si>
    <t>tot 3</t>
  </si>
  <si>
    <t>ORCAMENTO 2013</t>
  </si>
  <si>
    <t>rec gado</t>
  </si>
  <si>
    <t>total</t>
  </si>
  <si>
    <t>plantio</t>
  </si>
  <si>
    <t>valor / mst</t>
  </si>
  <si>
    <t>faturamento</t>
  </si>
  <si>
    <t>area/há</t>
  </si>
  <si>
    <t>volume medio /há</t>
  </si>
  <si>
    <t>Pasto carquejo</t>
  </si>
  <si>
    <t>Pasto  24</t>
  </si>
  <si>
    <t>Pasto  meio 1</t>
  </si>
  <si>
    <t>Pasto meio 2</t>
  </si>
  <si>
    <t>Pasto são pedro</t>
  </si>
  <si>
    <t>Pasto braquiara</t>
  </si>
  <si>
    <t>Pasto cachoeira</t>
  </si>
  <si>
    <t>Pasto morro</t>
  </si>
  <si>
    <t>Pasto samambaia</t>
  </si>
  <si>
    <t>% leo</t>
  </si>
  <si>
    <t>faturamento leo</t>
  </si>
  <si>
    <t>% regina</t>
  </si>
  <si>
    <t>faturamento regina</t>
  </si>
  <si>
    <t>FLUXO DE RECEITAS DE LENHA DE EUCALIPTO</t>
  </si>
  <si>
    <t xml:space="preserve">2) </t>
  </si>
  <si>
    <t>RECEITA PARA PROXIMOS ANOS</t>
  </si>
  <si>
    <t>1)</t>
  </si>
  <si>
    <t>RECEITA DE 2012</t>
  </si>
  <si>
    <t>REGINA</t>
  </si>
  <si>
    <t>LEO</t>
  </si>
  <si>
    <t xml:space="preserve">ago </t>
  </si>
  <si>
    <t>set</t>
  </si>
  <si>
    <t>out</t>
  </si>
  <si>
    <t>nov</t>
  </si>
  <si>
    <t>dez</t>
  </si>
  <si>
    <t>julho</t>
  </si>
  <si>
    <t>desp gado</t>
  </si>
  <si>
    <t>desp adm</t>
  </si>
  <si>
    <t>julio</t>
  </si>
  <si>
    <t>edinho</t>
  </si>
  <si>
    <t>rec lenha</t>
  </si>
  <si>
    <t>desp extras</t>
  </si>
  <si>
    <t>reforma</t>
  </si>
  <si>
    <t>13  sal</t>
  </si>
  <si>
    <t>tot rec</t>
  </si>
  <si>
    <t>tot desp</t>
  </si>
  <si>
    <t>saldo mês</t>
  </si>
  <si>
    <t>jan</t>
  </si>
  <si>
    <t>fev</t>
  </si>
  <si>
    <t>marc</t>
  </si>
  <si>
    <t>abri</t>
  </si>
  <si>
    <t>maio</t>
  </si>
  <si>
    <t>jun</t>
  </si>
  <si>
    <t>Férias</t>
  </si>
  <si>
    <t>jorge</t>
  </si>
  <si>
    <t>desp colheita</t>
  </si>
  <si>
    <t>s acumulado</t>
  </si>
  <si>
    <t>N.C.G. - 2014</t>
  </si>
  <si>
    <t>N.C.G. - 2015</t>
  </si>
  <si>
    <t>Fluxo de Caixa de Curto Prazo  -   Necessidade de Capital de Giro</t>
  </si>
  <si>
    <t>por 1 mês</t>
  </si>
  <si>
    <t>fl cx positivo</t>
  </si>
  <si>
    <t>mas</t>
  </si>
</sst>
</file>

<file path=xl/styles.xml><?xml version="1.0" encoding="utf-8"?>
<styleSheet xmlns="http://schemas.openxmlformats.org/spreadsheetml/2006/main">
  <numFmts count="2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</numFmts>
  <fonts count="27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1"/>
      <name val="Tahoma"/>
      <family val="2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2" fillId="2" borderId="6" xfId="0" applyFont="1" applyFill="1" applyBorder="1" applyAlignment="1">
      <alignment wrapText="1"/>
    </xf>
    <xf numFmtId="4" fontId="1" fillId="5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1" fillId="5" borderId="0" xfId="0" applyFont="1" applyFill="1" applyAlignment="1">
      <alignment horizontal="right"/>
    </xf>
    <xf numFmtId="9" fontId="6" fillId="5" borderId="0" xfId="0" applyNumberFormat="1" applyFont="1" applyFill="1" applyAlignment="1">
      <alignment horizontal="center"/>
    </xf>
    <xf numFmtId="0" fontId="6" fillId="5" borderId="0" xfId="0" applyFont="1" applyFill="1"/>
    <xf numFmtId="4" fontId="1" fillId="5" borderId="0" xfId="0" applyNumberFormat="1" applyFont="1" applyFill="1" applyAlignment="1">
      <alignment horizontal="center"/>
    </xf>
    <xf numFmtId="4" fontId="6" fillId="5" borderId="0" xfId="0" applyNumberFormat="1" applyFont="1" applyFill="1" applyAlignment="1">
      <alignment horizontal="center"/>
    </xf>
    <xf numFmtId="0" fontId="9" fillId="5" borderId="0" xfId="0" applyFont="1" applyFill="1"/>
    <xf numFmtId="4" fontId="9" fillId="5" borderId="0" xfId="0" applyNumberFormat="1" applyFont="1" applyFill="1"/>
    <xf numFmtId="0" fontId="1" fillId="5" borderId="7" xfId="0" applyFont="1" applyFill="1" applyBorder="1"/>
    <xf numFmtId="4" fontId="1" fillId="5" borderId="8" xfId="0" applyNumberFormat="1" applyFont="1" applyFill="1" applyBorder="1" applyAlignment="1">
      <alignment horizontal="left"/>
    </xf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4" fontId="1" fillId="5" borderId="0" xfId="0" applyNumberFormat="1" applyFont="1" applyFill="1" applyBorder="1" applyAlignment="1">
      <alignment horizontal="left"/>
    </xf>
    <xf numFmtId="0" fontId="1" fillId="5" borderId="0" xfId="0" applyFont="1" applyFill="1" applyBorder="1"/>
    <xf numFmtId="0" fontId="1" fillId="5" borderId="11" xfId="0" applyFont="1" applyFill="1" applyBorder="1"/>
    <xf numFmtId="0" fontId="1" fillId="5" borderId="10" xfId="0" applyFont="1" applyFill="1" applyBorder="1" applyAlignment="1">
      <alignment horizontal="right"/>
    </xf>
    <xf numFmtId="4" fontId="1" fillId="5" borderId="0" xfId="0" applyNumberFormat="1" applyFont="1" applyFill="1" applyBorder="1"/>
    <xf numFmtId="9" fontId="1" fillId="5" borderId="10" xfId="0" applyNumberFormat="1" applyFont="1" applyFill="1" applyBorder="1" applyAlignment="1">
      <alignment horizontal="center"/>
    </xf>
    <xf numFmtId="9" fontId="1" fillId="5" borderId="0" xfId="0" applyNumberFormat="1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9" fontId="1" fillId="5" borderId="11" xfId="0" applyNumberFormat="1" applyFont="1" applyFill="1" applyBorder="1" applyAlignment="1">
      <alignment horizontal="center"/>
    </xf>
    <xf numFmtId="0" fontId="1" fillId="5" borderId="12" xfId="0" applyFont="1" applyFill="1" applyBorder="1"/>
    <xf numFmtId="4" fontId="1" fillId="5" borderId="13" xfId="0" applyNumberFormat="1" applyFont="1" applyFill="1" applyBorder="1" applyAlignment="1">
      <alignment horizontal="left"/>
    </xf>
    <xf numFmtId="0" fontId="1" fillId="5" borderId="13" xfId="0" applyFont="1" applyFill="1" applyBorder="1"/>
    <xf numFmtId="0" fontId="1" fillId="5" borderId="4" xfId="0" applyFont="1" applyFill="1" applyBorder="1"/>
    <xf numFmtId="4" fontId="9" fillId="5" borderId="13" xfId="0" applyNumberFormat="1" applyFont="1" applyFill="1" applyBorder="1"/>
    <xf numFmtId="0" fontId="14" fillId="5" borderId="0" xfId="0" applyFont="1" applyFill="1"/>
    <xf numFmtId="0" fontId="14" fillId="5" borderId="0" xfId="0" applyFont="1" applyFill="1" applyBorder="1"/>
    <xf numFmtId="0" fontId="15" fillId="5" borderId="0" xfId="0" applyFont="1" applyFill="1"/>
    <xf numFmtId="0" fontId="5" fillId="5" borderId="0" xfId="0" applyFont="1" applyFill="1"/>
    <xf numFmtId="0" fontId="14" fillId="5" borderId="0" xfId="0" applyFont="1" applyFill="1" applyAlignment="1">
      <alignment horizontal="center"/>
    </xf>
    <xf numFmtId="0" fontId="14" fillId="5" borderId="14" xfId="0" applyFont="1" applyFill="1" applyBorder="1"/>
    <xf numFmtId="0" fontId="14" fillId="5" borderId="3" xfId="0" applyFont="1" applyFill="1" applyBorder="1"/>
    <xf numFmtId="0" fontId="14" fillId="5" borderId="14" xfId="0" applyFont="1" applyFill="1" applyBorder="1" applyAlignment="1">
      <alignment horizontal="center"/>
    </xf>
    <xf numFmtId="44" fontId="14" fillId="5" borderId="11" xfId="0" applyNumberFormat="1" applyFont="1" applyFill="1" applyBorder="1"/>
    <xf numFmtId="0" fontId="14" fillId="5" borderId="11" xfId="0" applyFont="1" applyFill="1" applyBorder="1"/>
    <xf numFmtId="44" fontId="14" fillId="5" borderId="14" xfId="0" applyNumberFormat="1" applyFont="1" applyFill="1" applyBorder="1"/>
    <xf numFmtId="0" fontId="14" fillId="5" borderId="5" xfId="0" applyFont="1" applyFill="1" applyBorder="1"/>
    <xf numFmtId="0" fontId="14" fillId="5" borderId="5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44" fontId="14" fillId="5" borderId="0" xfId="0" applyNumberFormat="1" applyFont="1" applyFill="1" applyBorder="1"/>
    <xf numFmtId="10" fontId="14" fillId="5" borderId="14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44" fontId="14" fillId="8" borderId="6" xfId="0" applyNumberFormat="1" applyFont="1" applyFill="1" applyBorder="1"/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44" fontId="14" fillId="7" borderId="6" xfId="0" applyNumberFormat="1" applyFont="1" applyFill="1" applyBorder="1"/>
    <xf numFmtId="0" fontId="16" fillId="5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/>
    </xf>
    <xf numFmtId="44" fontId="14" fillId="9" borderId="6" xfId="0" applyNumberFormat="1" applyFont="1" applyFill="1" applyBorder="1"/>
    <xf numFmtId="0" fontId="14" fillId="9" borderId="5" xfId="0" applyFont="1" applyFill="1" applyBorder="1"/>
    <xf numFmtId="0" fontId="1" fillId="5" borderId="14" xfId="0" applyFont="1" applyFill="1" applyBorder="1"/>
    <xf numFmtId="0" fontId="1" fillId="5" borderId="5" xfId="0" applyFont="1" applyFill="1" applyBorder="1"/>
    <xf numFmtId="0" fontId="1" fillId="10" borderId="14" xfId="0" applyFont="1" applyFill="1" applyBorder="1"/>
    <xf numFmtId="0" fontId="9" fillId="6" borderId="5" xfId="0" applyFont="1" applyFill="1" applyBorder="1" applyAlignment="1">
      <alignment horizontal="center"/>
    </xf>
    <xf numFmtId="0" fontId="9" fillId="11" borderId="5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11" borderId="6" xfId="0" applyFont="1" applyFill="1" applyBorder="1"/>
    <xf numFmtId="0" fontId="9" fillId="5" borderId="5" xfId="0" applyFont="1" applyFill="1" applyBorder="1"/>
    <xf numFmtId="42" fontId="9" fillId="5" borderId="0" xfId="0" applyNumberFormat="1" applyFont="1" applyFill="1"/>
    <xf numFmtId="3" fontId="9" fillId="5" borderId="0" xfId="0" applyNumberFormat="1" applyFont="1" applyFill="1" applyAlignment="1">
      <alignment horizontal="center"/>
    </xf>
    <xf numFmtId="42" fontId="1" fillId="5" borderId="0" xfId="0" applyNumberFormat="1" applyFont="1" applyFill="1"/>
    <xf numFmtId="3" fontId="1" fillId="5" borderId="0" xfId="0" applyNumberFormat="1" applyFont="1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3" fontId="1" fillId="5" borderId="0" xfId="0" applyNumberFormat="1" applyFont="1" applyFill="1" applyBorder="1"/>
    <xf numFmtId="3" fontId="1" fillId="5" borderId="11" xfId="0" applyNumberFormat="1" applyFont="1" applyFill="1" applyBorder="1"/>
    <xf numFmtId="3" fontId="1" fillId="5" borderId="0" xfId="0" applyNumberFormat="1" applyFont="1" applyFill="1"/>
    <xf numFmtId="3" fontId="9" fillId="5" borderId="2" xfId="0" applyNumberFormat="1" applyFont="1" applyFill="1" applyBorder="1"/>
    <xf numFmtId="3" fontId="9" fillId="5" borderId="6" xfId="0" applyNumberFormat="1" applyFont="1" applyFill="1" applyBorder="1"/>
    <xf numFmtId="3" fontId="9" fillId="5" borderId="0" xfId="0" applyNumberFormat="1" applyFont="1" applyFill="1" applyBorder="1"/>
    <xf numFmtId="3" fontId="9" fillId="5" borderId="11" xfId="0" applyNumberFormat="1" applyFont="1" applyFill="1" applyBorder="1"/>
    <xf numFmtId="3" fontId="12" fillId="5" borderId="0" xfId="0" applyNumberFormat="1" applyFont="1" applyFill="1" applyBorder="1"/>
    <xf numFmtId="3" fontId="1" fillId="10" borderId="0" xfId="0" applyNumberFormat="1" applyFont="1" applyFill="1" applyBorder="1"/>
    <xf numFmtId="3" fontId="1" fillId="5" borderId="2" xfId="0" applyNumberFormat="1" applyFont="1" applyFill="1" applyBorder="1"/>
    <xf numFmtId="3" fontId="1" fillId="5" borderId="6" xfId="0" applyNumberFormat="1" applyFont="1" applyFill="1" applyBorder="1"/>
    <xf numFmtId="3" fontId="10" fillId="6" borderId="2" xfId="0" applyNumberFormat="1" applyFont="1" applyFill="1" applyBorder="1" applyAlignment="1">
      <alignment horizontal="center"/>
    </xf>
    <xf numFmtId="3" fontId="9" fillId="6" borderId="2" xfId="0" applyNumberFormat="1" applyFont="1" applyFill="1" applyBorder="1" applyAlignment="1">
      <alignment horizontal="center"/>
    </xf>
    <xf numFmtId="3" fontId="9" fillId="6" borderId="6" xfId="0" applyNumberFormat="1" applyFont="1" applyFill="1" applyBorder="1"/>
    <xf numFmtId="0" fontId="20" fillId="5" borderId="5" xfId="0" applyFont="1" applyFill="1" applyBorder="1"/>
    <xf numFmtId="3" fontId="20" fillId="5" borderId="2" xfId="0" applyNumberFormat="1" applyFont="1" applyFill="1" applyBorder="1"/>
    <xf numFmtId="0" fontId="21" fillId="4" borderId="0" xfId="0" applyFont="1" applyFill="1" applyAlignment="1">
      <alignment horizontal="center"/>
    </xf>
    <xf numFmtId="0" fontId="20" fillId="5" borderId="0" xfId="0" applyFont="1" applyFill="1"/>
    <xf numFmtId="3" fontId="21" fillId="5" borderId="2" xfId="0" applyNumberFormat="1" applyFont="1" applyFill="1" applyBorder="1"/>
    <xf numFmtId="3" fontId="22" fillId="5" borderId="2" xfId="0" applyNumberFormat="1" applyFont="1" applyFill="1" applyBorder="1"/>
    <xf numFmtId="3" fontId="21" fillId="5" borderId="15" xfId="0" applyNumberFormat="1" applyFont="1" applyFill="1" applyBorder="1"/>
    <xf numFmtId="3" fontId="14" fillId="5" borderId="2" xfId="0" applyNumberFormat="1" applyFont="1" applyFill="1" applyBorder="1"/>
    <xf numFmtId="3" fontId="16" fillId="5" borderId="6" xfId="0" applyNumberFormat="1" applyFont="1" applyFill="1" applyBorder="1"/>
    <xf numFmtId="3" fontId="14" fillId="5" borderId="6" xfId="0" applyNumberFormat="1" applyFont="1" applyFill="1" applyBorder="1"/>
    <xf numFmtId="0" fontId="23" fillId="4" borderId="0" xfId="0" applyFont="1" applyFill="1" applyAlignment="1">
      <alignment horizontal="center"/>
    </xf>
    <xf numFmtId="3" fontId="14" fillId="5" borderId="0" xfId="0" applyNumberFormat="1" applyFont="1" applyFill="1" applyBorder="1"/>
    <xf numFmtId="42" fontId="23" fillId="4" borderId="0" xfId="0" applyNumberFormat="1" applyFont="1" applyFill="1"/>
    <xf numFmtId="3" fontId="23" fillId="5" borderId="2" xfId="0" applyNumberFormat="1" applyFont="1" applyFill="1" applyBorder="1"/>
    <xf numFmtId="3" fontId="24" fillId="5" borderId="2" xfId="0" applyNumberFormat="1" applyFont="1" applyFill="1" applyBorder="1"/>
    <xf numFmtId="3" fontId="23" fillId="5" borderId="15" xfId="0" applyNumberFormat="1" applyFont="1" applyFill="1" applyBorder="1"/>
    <xf numFmtId="0" fontId="16" fillId="7" borderId="0" xfId="0" applyFont="1" applyFill="1"/>
    <xf numFmtId="0" fontId="25" fillId="5" borderId="0" xfId="0" applyFont="1" applyFill="1"/>
    <xf numFmtId="3" fontId="25" fillId="5" borderId="0" xfId="0" applyNumberFormat="1" applyFont="1" applyFill="1"/>
    <xf numFmtId="42" fontId="26" fillId="5" borderId="0" xfId="0" applyNumberFormat="1" applyFont="1" applyFill="1"/>
    <xf numFmtId="3" fontId="14" fillId="5" borderId="0" xfId="0" applyNumberFormat="1" applyFont="1" applyFill="1"/>
    <xf numFmtId="0" fontId="13" fillId="4" borderId="0" xfId="0" applyFont="1" applyFill="1" applyAlignment="1"/>
    <xf numFmtId="0" fontId="13" fillId="5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'de 6 em 6 meses'!$K$23</c:f>
              <c:strCache>
                <c:ptCount val="1"/>
                <c:pt idx="0">
                  <c:v>s acumulado</c:v>
                </c:pt>
              </c:strCache>
            </c:strRef>
          </c:tx>
          <c:val>
            <c:numRef>
              <c:f>'de 6 em 6 meses'!$L$23:$R$23</c:f>
              <c:numCache>
                <c:formatCode>#,##0</c:formatCode>
                <c:ptCount val="7"/>
                <c:pt idx="0">
                  <c:v>5769.5999999999985</c:v>
                </c:pt>
                <c:pt idx="1">
                  <c:v>82415.600000000006</c:v>
                </c:pt>
                <c:pt idx="2">
                  <c:v>63417.600000000006</c:v>
                </c:pt>
                <c:pt idx="3">
                  <c:v>44419.600000000006</c:v>
                </c:pt>
                <c:pt idx="4">
                  <c:v>25421.600000000006</c:v>
                </c:pt>
                <c:pt idx="5">
                  <c:v>6423.6000000000058</c:v>
                </c:pt>
                <c:pt idx="6">
                  <c:v>3423.6000000000058</c:v>
                </c:pt>
              </c:numCache>
            </c:numRef>
          </c:val>
        </c:ser>
        <c:axId val="71410816"/>
        <c:axId val="71412352"/>
      </c:barChart>
      <c:catAx>
        <c:axId val="71410816"/>
        <c:scaling>
          <c:orientation val="minMax"/>
        </c:scaling>
        <c:axPos val="b"/>
        <c:tickLblPos val="nextTo"/>
        <c:crossAx val="71412352"/>
        <c:crosses val="autoZero"/>
        <c:auto val="1"/>
        <c:lblAlgn val="ctr"/>
        <c:lblOffset val="100"/>
      </c:catAx>
      <c:valAx>
        <c:axId val="71412352"/>
        <c:scaling>
          <c:orientation val="minMax"/>
        </c:scaling>
        <c:axPos val="l"/>
        <c:majorGridlines/>
        <c:numFmt formatCode="#,##0" sourceLinked="1"/>
        <c:tickLblPos val="nextTo"/>
        <c:crossAx val="71410816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4886" cy="601806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opLeftCell="A2" workbookViewId="0">
      <selection activeCell="B2" sqref="B2"/>
    </sheetView>
  </sheetViews>
  <sheetFormatPr defaultRowHeight="11.25"/>
  <cols>
    <col min="1" max="1" width="25.5703125" style="1" customWidth="1"/>
    <col min="2" max="2" width="8.5703125" style="7" customWidth="1"/>
    <col min="3" max="3" width="5.7109375" style="15" customWidth="1"/>
    <col min="4" max="4" width="21" style="1" customWidth="1"/>
    <col min="5" max="5" width="8.5703125" style="7" customWidth="1"/>
    <col min="6" max="6" width="5.85546875" style="15" customWidth="1"/>
    <col min="7" max="7" width="17.7109375" style="15" customWidth="1"/>
    <col min="8" max="8" width="8.5703125" style="15" customWidth="1"/>
    <col min="9" max="9" width="4.5703125" style="15" customWidth="1"/>
    <col min="10" max="10" width="23.5703125" style="15" customWidth="1"/>
    <col min="11" max="11" width="8.140625" style="15" customWidth="1"/>
    <col min="12" max="14" width="9.140625" style="15"/>
    <col min="15" max="16384" width="9.140625" style="1"/>
  </cols>
  <sheetData>
    <row r="1" spans="1:13" s="15" customFormat="1" ht="15.75">
      <c r="A1" s="19" t="s">
        <v>66</v>
      </c>
      <c r="B1" s="20"/>
      <c r="C1" s="19"/>
      <c r="D1" s="19"/>
      <c r="E1" s="20"/>
      <c r="F1" s="19"/>
    </row>
    <row r="2" spans="1:13" s="15" customFormat="1">
      <c r="B2" s="16"/>
      <c r="E2" s="16"/>
    </row>
    <row r="3" spans="1:13" s="15" customFormat="1">
      <c r="A3" s="15" t="s">
        <v>39</v>
      </c>
      <c r="B3" s="16"/>
      <c r="E3" s="16"/>
    </row>
    <row r="4" spans="1:13" s="15" customFormat="1">
      <c r="A4" s="15" t="s">
        <v>40</v>
      </c>
      <c r="B4" s="16"/>
      <c r="E4" s="16"/>
    </row>
    <row r="5" spans="1:13" s="15" customFormat="1">
      <c r="B5" s="16"/>
      <c r="E5" s="16"/>
    </row>
    <row r="6" spans="1:13">
      <c r="A6" s="2" t="s">
        <v>36</v>
      </c>
      <c r="B6" s="8"/>
      <c r="D6" s="2" t="s">
        <v>37</v>
      </c>
      <c r="E6" s="17"/>
      <c r="G6" s="2" t="s">
        <v>7</v>
      </c>
      <c r="H6" s="17"/>
      <c r="J6" s="2" t="s">
        <v>41</v>
      </c>
      <c r="K6" s="17"/>
    </row>
    <row r="7" spans="1:13" ht="22.5">
      <c r="A7" s="3"/>
      <c r="B7" s="9" t="s">
        <v>0</v>
      </c>
      <c r="D7" s="11"/>
      <c r="E7" s="14"/>
      <c r="G7" s="3"/>
      <c r="H7" s="4" t="s">
        <v>0</v>
      </c>
      <c r="J7" s="3"/>
      <c r="K7" s="4" t="s">
        <v>0</v>
      </c>
    </row>
    <row r="8" spans="1:13" ht="12" customHeight="1">
      <c r="A8" s="3" t="s">
        <v>19</v>
      </c>
      <c r="B8" s="10">
        <v>100</v>
      </c>
      <c r="D8" s="11" t="s">
        <v>18</v>
      </c>
      <c r="E8" s="13">
        <v>2500</v>
      </c>
      <c r="G8" s="11"/>
      <c r="H8" s="13"/>
      <c r="J8" s="11" t="s">
        <v>1</v>
      </c>
      <c r="K8" s="10">
        <v>0</v>
      </c>
    </row>
    <row r="9" spans="1:13" ht="12" customHeight="1">
      <c r="A9" s="3" t="s">
        <v>20</v>
      </c>
      <c r="B9" s="10">
        <v>50</v>
      </c>
      <c r="D9" s="21" t="s">
        <v>5</v>
      </c>
      <c r="E9" s="10">
        <v>500</v>
      </c>
      <c r="G9" s="11" t="s">
        <v>38</v>
      </c>
      <c r="H9" s="13">
        <v>880</v>
      </c>
      <c r="J9" s="11" t="s">
        <v>2</v>
      </c>
      <c r="K9" s="10">
        <v>0</v>
      </c>
    </row>
    <row r="10" spans="1:13" ht="12" customHeight="1">
      <c r="A10" s="3" t="s">
        <v>21</v>
      </c>
      <c r="B10" s="10">
        <v>15</v>
      </c>
      <c r="D10" s="11"/>
      <c r="E10" s="13"/>
      <c r="G10" s="11" t="s">
        <v>8</v>
      </c>
      <c r="H10" s="13">
        <v>260</v>
      </c>
      <c r="J10" s="11" t="s">
        <v>3</v>
      </c>
      <c r="K10" s="10">
        <v>0</v>
      </c>
    </row>
    <row r="11" spans="1:13" ht="12" customHeight="1">
      <c r="A11" s="3" t="s">
        <v>22</v>
      </c>
      <c r="B11" s="10">
        <v>280</v>
      </c>
      <c r="D11" s="11"/>
      <c r="E11" s="13"/>
      <c r="G11" s="11" t="s">
        <v>9</v>
      </c>
      <c r="H11" s="13">
        <v>115</v>
      </c>
      <c r="J11" s="11" t="s">
        <v>4</v>
      </c>
      <c r="K11" s="10">
        <v>0</v>
      </c>
    </row>
    <row r="12" spans="1:13" ht="12" customHeight="1">
      <c r="A12" s="3" t="s">
        <v>23</v>
      </c>
      <c r="B12" s="10">
        <v>90</v>
      </c>
      <c r="D12" s="11"/>
      <c r="E12" s="13"/>
      <c r="G12" s="11" t="s">
        <v>10</v>
      </c>
      <c r="H12" s="13">
        <v>30</v>
      </c>
      <c r="J12" s="21" t="s">
        <v>5</v>
      </c>
      <c r="K12" s="10">
        <v>0</v>
      </c>
    </row>
    <row r="13" spans="1:13" ht="12" customHeight="1">
      <c r="A13" s="3" t="s">
        <v>24</v>
      </c>
      <c r="B13" s="10">
        <v>60</v>
      </c>
      <c r="D13" s="11"/>
      <c r="E13" s="13"/>
      <c r="G13" s="11" t="s">
        <v>11</v>
      </c>
      <c r="H13" s="13">
        <v>10</v>
      </c>
      <c r="J13" s="21" t="s">
        <v>6</v>
      </c>
      <c r="K13" s="10">
        <v>250</v>
      </c>
    </row>
    <row r="14" spans="1:13" ht="12" customHeight="1">
      <c r="A14" s="3" t="s">
        <v>25</v>
      </c>
      <c r="B14" s="10">
        <v>90</v>
      </c>
      <c r="D14" s="11"/>
      <c r="E14" s="13"/>
      <c r="G14" s="11" t="s">
        <v>12</v>
      </c>
      <c r="H14" s="13">
        <v>80</v>
      </c>
      <c r="J14" s="12"/>
      <c r="K14" s="10"/>
    </row>
    <row r="15" spans="1:13" ht="12" customHeight="1">
      <c r="A15" s="3" t="s">
        <v>26</v>
      </c>
      <c r="B15" s="10">
        <v>65</v>
      </c>
      <c r="D15" s="11"/>
      <c r="E15" s="13"/>
      <c r="G15" s="11" t="s">
        <v>13</v>
      </c>
      <c r="H15" s="13">
        <v>50</v>
      </c>
      <c r="J15" s="11"/>
      <c r="K15" s="10"/>
    </row>
    <row r="16" spans="1:13" ht="12" customHeight="1">
      <c r="A16" s="3" t="s">
        <v>27</v>
      </c>
      <c r="B16" s="10">
        <v>15</v>
      </c>
      <c r="D16" s="11"/>
      <c r="E16" s="13"/>
      <c r="G16" s="11" t="s">
        <v>14</v>
      </c>
      <c r="H16" s="13">
        <v>20</v>
      </c>
      <c r="J16" s="11"/>
      <c r="K16" s="10"/>
      <c r="M16" s="18"/>
    </row>
    <row r="17" spans="1:14" ht="12" customHeight="1">
      <c r="A17" s="3" t="s">
        <v>15</v>
      </c>
      <c r="B17" s="10">
        <v>240</v>
      </c>
      <c r="D17" s="11"/>
      <c r="E17" s="13"/>
      <c r="G17" s="11" t="s">
        <v>15</v>
      </c>
      <c r="H17" s="13">
        <v>70</v>
      </c>
      <c r="J17" s="11"/>
      <c r="K17" s="10"/>
    </row>
    <row r="18" spans="1:14" ht="12" customHeight="1">
      <c r="A18" s="3" t="s">
        <v>28</v>
      </c>
      <c r="B18" s="10">
        <v>90</v>
      </c>
      <c r="D18" s="12"/>
      <c r="E18" s="13"/>
      <c r="G18" s="12"/>
      <c r="H18" s="13"/>
      <c r="J18" s="11"/>
      <c r="K18" s="10"/>
    </row>
    <row r="19" spans="1:14" ht="12" customHeight="1">
      <c r="A19" s="6" t="s">
        <v>29</v>
      </c>
      <c r="B19" s="10">
        <v>280</v>
      </c>
      <c r="D19" s="11"/>
      <c r="E19" s="13"/>
      <c r="G19" s="11"/>
      <c r="H19" s="13"/>
      <c r="J19" s="11"/>
      <c r="K19" s="10"/>
    </row>
    <row r="20" spans="1:14" ht="12" customHeight="1">
      <c r="A20" s="6" t="s">
        <v>30</v>
      </c>
      <c r="B20" s="10">
        <v>100</v>
      </c>
      <c r="D20" s="11"/>
      <c r="E20" s="13"/>
      <c r="G20" s="11"/>
      <c r="H20" s="13"/>
      <c r="J20" s="11"/>
      <c r="K20" s="10"/>
    </row>
    <row r="21" spans="1:14" ht="12" customHeight="1">
      <c r="A21" s="6" t="s">
        <v>31</v>
      </c>
      <c r="B21" s="10">
        <v>100</v>
      </c>
      <c r="D21" s="11"/>
      <c r="E21" s="13"/>
      <c r="G21" s="11"/>
      <c r="H21" s="13"/>
      <c r="J21" s="11"/>
      <c r="K21" s="10"/>
    </row>
    <row r="22" spans="1:14" ht="12" customHeight="1">
      <c r="A22" s="6" t="s">
        <v>32</v>
      </c>
      <c r="B22" s="10">
        <v>140</v>
      </c>
      <c r="D22" s="11"/>
      <c r="E22" s="13"/>
      <c r="G22" s="11"/>
      <c r="H22" s="13"/>
      <c r="J22" s="11"/>
      <c r="K22" s="10"/>
    </row>
    <row r="23" spans="1:14" ht="12" customHeight="1">
      <c r="A23" s="6" t="s">
        <v>33</v>
      </c>
      <c r="B23" s="10">
        <v>35</v>
      </c>
      <c r="D23" s="11"/>
      <c r="E23" s="13"/>
      <c r="G23" s="11"/>
      <c r="H23" s="13"/>
      <c r="J23" s="11"/>
      <c r="K23" s="10"/>
    </row>
    <row r="24" spans="1:14" ht="12" customHeight="1">
      <c r="A24" s="6" t="s">
        <v>34</v>
      </c>
      <c r="B24" s="10">
        <v>20</v>
      </c>
      <c r="D24" s="11"/>
      <c r="E24" s="13"/>
      <c r="G24" s="11"/>
      <c r="H24" s="13"/>
      <c r="J24" s="11"/>
      <c r="K24" s="10"/>
    </row>
    <row r="25" spans="1:14" ht="12" customHeight="1">
      <c r="A25" s="6" t="s">
        <v>35</v>
      </c>
      <c r="B25" s="10">
        <v>10</v>
      </c>
      <c r="C25" s="18">
        <f>SUM(B19:B25)</f>
        <v>685</v>
      </c>
      <c r="D25" s="11"/>
      <c r="E25" s="13"/>
      <c r="G25" s="11"/>
      <c r="H25" s="13"/>
      <c r="J25" s="11"/>
      <c r="K25" s="10"/>
    </row>
    <row r="26" spans="1:14" ht="12" customHeight="1">
      <c r="A26" s="5" t="s">
        <v>16</v>
      </c>
      <c r="B26" s="10">
        <f>SUM(B8:B25)</f>
        <v>1780</v>
      </c>
      <c r="D26" s="5" t="s">
        <v>16</v>
      </c>
      <c r="E26" s="10">
        <f>SUM(E8:E25)</f>
        <v>3000</v>
      </c>
      <c r="G26" s="5" t="s">
        <v>16</v>
      </c>
      <c r="H26" s="10">
        <f>SUM(H8:H25)</f>
        <v>1515</v>
      </c>
      <c r="J26" s="5" t="s">
        <v>16</v>
      </c>
      <c r="K26" s="10">
        <f>SUM(K8:K25)</f>
        <v>250</v>
      </c>
    </row>
    <row r="27" spans="1:14" ht="12" customHeight="1">
      <c r="A27" s="5"/>
      <c r="B27" s="10"/>
      <c r="D27" s="5"/>
      <c r="E27" s="10"/>
      <c r="G27" s="5"/>
      <c r="H27" s="10"/>
      <c r="J27" s="5"/>
      <c r="K27" s="10"/>
    </row>
    <row r="28" spans="1:14" ht="12" customHeight="1">
      <c r="A28" s="5" t="s">
        <v>17</v>
      </c>
      <c r="B28" s="10">
        <f>B26*12</f>
        <v>21360</v>
      </c>
      <c r="D28" s="5" t="s">
        <v>17</v>
      </c>
      <c r="E28" s="10">
        <f>E26*12</f>
        <v>36000</v>
      </c>
      <c r="F28" s="1"/>
      <c r="G28" s="5" t="s">
        <v>17</v>
      </c>
      <c r="H28" s="10">
        <f>H26*12</f>
        <v>18180</v>
      </c>
      <c r="J28" s="5" t="s">
        <v>17</v>
      </c>
      <c r="K28" s="10">
        <f>K26*12</f>
        <v>3000</v>
      </c>
    </row>
    <row r="29" spans="1:14" s="15" customFormat="1">
      <c r="B29" s="16"/>
      <c r="E29" s="16"/>
    </row>
    <row r="30" spans="1:14" s="15" customFormat="1"/>
    <row r="31" spans="1:14" s="15" customFormat="1"/>
    <row r="32" spans="1:14" s="15" customFormat="1">
      <c r="A32" s="7" t="s">
        <v>44</v>
      </c>
      <c r="B32" s="25">
        <f>B28+E28+H28+K28</f>
        <v>78540</v>
      </c>
      <c r="D32" s="16"/>
      <c r="G32" s="29" t="s">
        <v>46</v>
      </c>
      <c r="H32" s="30">
        <f>B28*35%</f>
        <v>7475.9999999999991</v>
      </c>
      <c r="I32" s="31" t="s">
        <v>49</v>
      </c>
      <c r="J32" s="32"/>
      <c r="K32" s="29" t="s">
        <v>47</v>
      </c>
      <c r="L32" s="30">
        <f>B28*15%</f>
        <v>3204</v>
      </c>
      <c r="M32" s="31" t="s">
        <v>53</v>
      </c>
      <c r="N32" s="32"/>
    </row>
    <row r="33" spans="1:14" s="15" customFormat="1">
      <c r="A33" s="16"/>
      <c r="B33" s="16"/>
      <c r="D33" s="16"/>
      <c r="G33" s="33"/>
      <c r="H33" s="34">
        <f>K28*60%</f>
        <v>1800</v>
      </c>
      <c r="I33" s="35" t="s">
        <v>52</v>
      </c>
      <c r="J33" s="36"/>
      <c r="K33" s="33"/>
      <c r="L33" s="34">
        <f>K28*40%</f>
        <v>1200</v>
      </c>
      <c r="M33" s="35" t="s">
        <v>54</v>
      </c>
      <c r="N33" s="36"/>
    </row>
    <row r="34" spans="1:14" s="15" customFormat="1">
      <c r="A34" s="23"/>
      <c r="B34" s="26">
        <v>100</v>
      </c>
      <c r="C34" s="24" t="s">
        <v>42</v>
      </c>
      <c r="G34" s="33"/>
      <c r="H34" s="35"/>
      <c r="I34" s="35"/>
      <c r="J34" s="36"/>
      <c r="K34" s="33"/>
      <c r="L34" s="35"/>
      <c r="M34" s="35"/>
      <c r="N34" s="36"/>
    </row>
    <row r="35" spans="1:14" s="15" customFormat="1">
      <c r="A35" s="23"/>
      <c r="B35" s="26">
        <f>B32/B34</f>
        <v>785.4</v>
      </c>
      <c r="C35" s="24" t="s">
        <v>43</v>
      </c>
      <c r="G35" s="37"/>
      <c r="H35" s="35"/>
      <c r="I35" s="35"/>
      <c r="J35" s="36"/>
      <c r="K35" s="33"/>
      <c r="L35" s="35"/>
      <c r="M35" s="35"/>
      <c r="N35" s="36"/>
    </row>
    <row r="36" spans="1:14" s="15" customFormat="1">
      <c r="A36" s="16"/>
      <c r="D36" s="16"/>
      <c r="G36" s="37"/>
      <c r="H36" s="34">
        <f>B28*50%</f>
        <v>10680</v>
      </c>
      <c r="I36" s="38" t="s">
        <v>48</v>
      </c>
      <c r="J36" s="36"/>
      <c r="K36" s="37"/>
      <c r="L36" s="34">
        <f>F28*50%</f>
        <v>0</v>
      </c>
      <c r="M36" s="38" t="s">
        <v>55</v>
      </c>
      <c r="N36" s="36"/>
    </row>
    <row r="37" spans="1:14" s="15" customFormat="1">
      <c r="A37" s="16"/>
      <c r="D37" s="16"/>
      <c r="F37" s="22"/>
      <c r="G37" s="39"/>
      <c r="H37" s="34">
        <f>(70%*(SUM(H9:H14)))*12</f>
        <v>11549.999999999998</v>
      </c>
      <c r="I37" s="38" t="s">
        <v>50</v>
      </c>
      <c r="J37" s="36"/>
      <c r="K37" s="37"/>
      <c r="L37" s="34">
        <f>(30%*(SUM(H9:H14))*12)</f>
        <v>4950</v>
      </c>
      <c r="M37" s="38" t="s">
        <v>56</v>
      </c>
      <c r="N37" s="36"/>
    </row>
    <row r="38" spans="1:14" s="15" customFormat="1">
      <c r="A38" s="16"/>
      <c r="D38" s="16"/>
      <c r="F38" s="22"/>
      <c r="G38" s="39"/>
      <c r="H38" s="34">
        <f>(H15+H16+H17)*12</f>
        <v>1680</v>
      </c>
      <c r="I38" s="40" t="s">
        <v>57</v>
      </c>
      <c r="J38" s="36"/>
      <c r="K38" s="39"/>
      <c r="L38" s="34">
        <f>(L15+L16+L17)*12</f>
        <v>0</v>
      </c>
      <c r="M38" s="40" t="s">
        <v>58</v>
      </c>
      <c r="N38" s="36"/>
    </row>
    <row r="39" spans="1:14" s="15" customFormat="1">
      <c r="A39" s="16"/>
      <c r="D39" s="16"/>
      <c r="G39" s="33"/>
      <c r="H39" s="34">
        <f>E28*40%</f>
        <v>14400</v>
      </c>
      <c r="I39" s="41" t="s">
        <v>51</v>
      </c>
      <c r="J39" s="42"/>
      <c r="K39" s="39"/>
      <c r="L39" s="34">
        <f>I28*40%</f>
        <v>0</v>
      </c>
      <c r="M39" s="41" t="s">
        <v>59</v>
      </c>
      <c r="N39" s="42"/>
    </row>
    <row r="40" spans="1:14" s="15" customFormat="1">
      <c r="A40" s="16" t="s">
        <v>45</v>
      </c>
      <c r="B40" s="18">
        <f>B32+18000</f>
        <v>96540</v>
      </c>
      <c r="D40" s="16"/>
      <c r="G40" s="33"/>
      <c r="H40" s="34"/>
      <c r="I40" s="41"/>
      <c r="J40" s="36"/>
      <c r="K40" s="33"/>
      <c r="L40" s="35"/>
      <c r="M40" s="35"/>
      <c r="N40" s="36"/>
    </row>
    <row r="41" spans="1:14" s="15" customFormat="1">
      <c r="A41" s="16"/>
      <c r="D41" s="16"/>
      <c r="G41" s="33"/>
      <c r="H41" s="34">
        <f>((E28*10%)*70%)+((E28*25%)*85%)</f>
        <v>10170</v>
      </c>
      <c r="I41" s="41" t="s">
        <v>60</v>
      </c>
      <c r="J41" s="36"/>
      <c r="K41" s="33"/>
      <c r="L41" s="34">
        <f>((E28*10%)*30%)+((E28*25%)*15%)</f>
        <v>2430</v>
      </c>
      <c r="M41" s="41" t="s">
        <v>60</v>
      </c>
      <c r="N41" s="36"/>
    </row>
    <row r="42" spans="1:14" s="15" customFormat="1">
      <c r="A42" s="16"/>
      <c r="D42" s="16"/>
      <c r="G42" s="33"/>
      <c r="H42" s="35"/>
      <c r="I42" s="35"/>
      <c r="J42" s="36"/>
      <c r="K42" s="33"/>
      <c r="L42" s="35"/>
      <c r="M42" s="35"/>
      <c r="N42" s="36"/>
    </row>
    <row r="43" spans="1:14" s="15" customFormat="1">
      <c r="A43" s="16"/>
      <c r="B43" s="26">
        <v>100</v>
      </c>
      <c r="C43" s="24" t="s">
        <v>42</v>
      </c>
      <c r="D43" s="16"/>
      <c r="G43" s="43"/>
      <c r="H43" s="44">
        <f>SUM(H32:H41)</f>
        <v>57756</v>
      </c>
      <c r="I43" s="45"/>
      <c r="J43" s="46"/>
      <c r="K43" s="43"/>
      <c r="L43" s="44">
        <f>SUM(L32:L41)</f>
        <v>11784</v>
      </c>
      <c r="M43" s="45"/>
      <c r="N43" s="46"/>
    </row>
    <row r="44" spans="1:14" s="15" customFormat="1">
      <c r="A44" s="16"/>
      <c r="B44" s="26">
        <f>B40/B43</f>
        <v>965.4</v>
      </c>
      <c r="C44" s="24" t="s">
        <v>43</v>
      </c>
      <c r="D44" s="16"/>
    </row>
    <row r="45" spans="1:14" s="15" customFormat="1">
      <c r="A45" s="16"/>
      <c r="D45" s="16"/>
      <c r="K45" s="27" t="s">
        <v>61</v>
      </c>
      <c r="L45" s="28">
        <f>SUM(H43:L43)</f>
        <v>69540</v>
      </c>
    </row>
    <row r="46" spans="1:14" s="15" customFormat="1">
      <c r="A46" s="16"/>
      <c r="D46" s="16"/>
      <c r="E46" s="16"/>
    </row>
    <row r="47" spans="1:14" s="15" customFormat="1">
      <c r="A47" s="16"/>
      <c r="D47" s="16"/>
      <c r="E47" s="16"/>
      <c r="L47" s="18">
        <f>E28*25%</f>
        <v>9000</v>
      </c>
    </row>
    <row r="48" spans="1:14" s="15" customFormat="1">
      <c r="B48" s="16"/>
      <c r="E48" s="16"/>
      <c r="K48" s="27" t="s">
        <v>62</v>
      </c>
      <c r="L48" s="28">
        <f>SUM(L45:L47)</f>
        <v>78540</v>
      </c>
    </row>
    <row r="49" spans="2:14" s="15" customFormat="1">
      <c r="B49" s="16"/>
      <c r="E49" s="16"/>
    </row>
    <row r="50" spans="2:14" s="15" customFormat="1">
      <c r="B50" s="16"/>
      <c r="E50" s="16"/>
    </row>
    <row r="51" spans="2:14" s="15" customFormat="1">
      <c r="B51" s="16"/>
      <c r="E51" s="16"/>
      <c r="G51" s="29" t="s">
        <v>63</v>
      </c>
      <c r="H51" s="31"/>
      <c r="I51" s="31"/>
      <c r="J51" s="32"/>
      <c r="K51" s="29" t="s">
        <v>64</v>
      </c>
      <c r="L51" s="31"/>
      <c r="M51" s="31"/>
      <c r="N51" s="32"/>
    </row>
    <row r="52" spans="2:14" s="15" customFormat="1">
      <c r="B52" s="16"/>
      <c r="E52" s="16"/>
      <c r="G52" s="33"/>
      <c r="H52" s="38">
        <f>(E28/2)*50%</f>
        <v>9000</v>
      </c>
      <c r="I52" s="35"/>
      <c r="J52" s="36"/>
      <c r="K52" s="33"/>
      <c r="L52" s="38">
        <f>(E28/2)*50%</f>
        <v>9000</v>
      </c>
      <c r="M52" s="35"/>
      <c r="N52" s="36"/>
    </row>
    <row r="53" spans="2:14" s="15" customFormat="1">
      <c r="B53" s="16"/>
      <c r="E53" s="16"/>
      <c r="G53" s="43"/>
      <c r="H53" s="47">
        <f>H43+H52</f>
        <v>66756</v>
      </c>
      <c r="I53" s="45"/>
      <c r="J53" s="46"/>
      <c r="K53" s="43"/>
      <c r="L53" s="47">
        <f>L43+L52</f>
        <v>20784</v>
      </c>
      <c r="M53" s="45"/>
      <c r="N53" s="46"/>
    </row>
    <row r="54" spans="2:14" s="15" customFormat="1">
      <c r="B54" s="16"/>
      <c r="E54" s="16"/>
    </row>
    <row r="55" spans="2:14" s="15" customFormat="1">
      <c r="B55" s="16"/>
      <c r="E55" s="16"/>
      <c r="K55" s="27" t="s">
        <v>65</v>
      </c>
      <c r="L55" s="28">
        <f>+L48+H52+L52</f>
        <v>96540</v>
      </c>
    </row>
    <row r="56" spans="2:14" s="15" customFormat="1">
      <c r="B56" s="16"/>
      <c r="E56" s="16"/>
    </row>
    <row r="57" spans="2:14" s="15" customFormat="1">
      <c r="B57" s="16"/>
      <c r="E57" s="16"/>
    </row>
    <row r="58" spans="2:14" s="15" customFormat="1">
      <c r="B58" s="16"/>
      <c r="E58" s="16"/>
    </row>
    <row r="59" spans="2:14" s="15" customFormat="1">
      <c r="B59" s="16"/>
      <c r="E59" s="16"/>
    </row>
    <row r="60" spans="2:14" s="15" customFormat="1">
      <c r="B60" s="16"/>
      <c r="E60" s="16"/>
    </row>
    <row r="61" spans="2:14" s="15" customFormat="1">
      <c r="B61" s="16"/>
      <c r="E61" s="16"/>
    </row>
    <row r="62" spans="2:14" s="15" customFormat="1">
      <c r="B62" s="16"/>
      <c r="E62" s="16"/>
    </row>
    <row r="63" spans="2:14" s="15" customFormat="1">
      <c r="B63" s="16"/>
      <c r="E63" s="16"/>
    </row>
    <row r="64" spans="2:14" s="15" customFormat="1">
      <c r="B64" s="16"/>
      <c r="E64" s="16"/>
    </row>
    <row r="65" spans="2:5" s="15" customFormat="1">
      <c r="B65" s="16"/>
      <c r="E65" s="16"/>
    </row>
    <row r="66" spans="2:5" s="15" customFormat="1">
      <c r="B66" s="16"/>
      <c r="E66" s="16"/>
    </row>
    <row r="67" spans="2:5" s="15" customFormat="1">
      <c r="B67" s="16"/>
      <c r="E67" s="16"/>
    </row>
    <row r="68" spans="2:5" s="15" customFormat="1">
      <c r="B68" s="16"/>
      <c r="E68" s="16"/>
    </row>
    <row r="69" spans="2:5" s="15" customFormat="1">
      <c r="B69" s="16"/>
      <c r="E69" s="16"/>
    </row>
    <row r="70" spans="2:5" s="15" customFormat="1">
      <c r="B70" s="16"/>
      <c r="E70" s="16"/>
    </row>
    <row r="71" spans="2:5" s="15" customFormat="1">
      <c r="B71" s="16"/>
      <c r="E71" s="16"/>
    </row>
    <row r="72" spans="2:5" s="15" customFormat="1">
      <c r="B72" s="16"/>
      <c r="E72" s="16"/>
    </row>
    <row r="73" spans="2:5" s="15" customFormat="1">
      <c r="B73" s="16"/>
      <c r="E73" s="16"/>
    </row>
    <row r="74" spans="2:5" s="15" customFormat="1">
      <c r="B74" s="16"/>
      <c r="E74" s="16"/>
    </row>
    <row r="75" spans="2:5" s="15" customFormat="1">
      <c r="B75" s="16"/>
      <c r="E75" s="16"/>
    </row>
    <row r="76" spans="2:5" s="15" customFormat="1">
      <c r="B76" s="16"/>
      <c r="E76" s="16"/>
    </row>
    <row r="77" spans="2:5" s="15" customFormat="1">
      <c r="B77" s="16"/>
      <c r="E77" s="16"/>
    </row>
    <row r="78" spans="2:5" s="15" customFormat="1">
      <c r="B78" s="16"/>
      <c r="E78" s="16"/>
    </row>
    <row r="79" spans="2:5" s="15" customFormat="1">
      <c r="B79" s="16"/>
      <c r="E79" s="16"/>
    </row>
    <row r="80" spans="2:5" s="15" customFormat="1">
      <c r="B80" s="16"/>
      <c r="E80" s="16"/>
    </row>
    <row r="81" spans="2:5" s="15" customFormat="1">
      <c r="B81" s="16"/>
      <c r="E81" s="16"/>
    </row>
    <row r="82" spans="2:5" s="15" customFormat="1">
      <c r="B82" s="16"/>
      <c r="E82" s="16"/>
    </row>
    <row r="83" spans="2:5" s="15" customFormat="1">
      <c r="B83" s="16"/>
      <c r="E83" s="16"/>
    </row>
    <row r="84" spans="2:5" s="15" customFormat="1">
      <c r="B84" s="16"/>
      <c r="E84" s="16"/>
    </row>
    <row r="85" spans="2:5" s="15" customFormat="1">
      <c r="B85" s="16"/>
      <c r="E85" s="16"/>
    </row>
    <row r="86" spans="2:5" s="15" customFormat="1">
      <c r="B86" s="16"/>
      <c r="E86" s="16"/>
    </row>
    <row r="87" spans="2:5" s="15" customFormat="1">
      <c r="B87" s="16"/>
      <c r="E87" s="16"/>
    </row>
    <row r="88" spans="2:5" s="15" customFormat="1">
      <c r="B88" s="16"/>
      <c r="E88" s="16"/>
    </row>
    <row r="89" spans="2:5" s="15" customFormat="1">
      <c r="B89" s="16"/>
      <c r="E89" s="16"/>
    </row>
    <row r="90" spans="2:5" s="15" customFormat="1">
      <c r="B90" s="16"/>
      <c r="E90" s="16"/>
    </row>
    <row r="91" spans="2:5" s="15" customFormat="1">
      <c r="B91" s="16"/>
      <c r="E91" s="16"/>
    </row>
    <row r="92" spans="2:5" s="15" customFormat="1">
      <c r="B92" s="16"/>
      <c r="E92" s="16"/>
    </row>
    <row r="93" spans="2:5" s="15" customFormat="1">
      <c r="B93" s="16"/>
      <c r="E93" s="16"/>
    </row>
    <row r="94" spans="2:5" s="15" customFormat="1">
      <c r="B94" s="16"/>
      <c r="E94" s="16"/>
    </row>
    <row r="95" spans="2:5" s="15" customFormat="1">
      <c r="B95" s="16"/>
      <c r="E95" s="16"/>
    </row>
    <row r="96" spans="2:5" s="15" customFormat="1">
      <c r="B96" s="16"/>
      <c r="E96" s="16"/>
    </row>
    <row r="97" spans="2:5" s="15" customFormat="1">
      <c r="B97" s="16"/>
      <c r="E97" s="16"/>
    </row>
    <row r="98" spans="2:5" s="15" customFormat="1">
      <c r="B98" s="16"/>
      <c r="E98" s="16"/>
    </row>
    <row r="99" spans="2:5" s="15" customFormat="1">
      <c r="B99" s="16"/>
      <c r="E99" s="16"/>
    </row>
    <row r="100" spans="2:5" s="15" customFormat="1">
      <c r="B100" s="16"/>
      <c r="E100" s="16"/>
    </row>
    <row r="101" spans="2:5" s="15" customFormat="1">
      <c r="B101" s="16"/>
      <c r="E101" s="16"/>
    </row>
    <row r="102" spans="2:5" s="15" customFormat="1">
      <c r="B102" s="16"/>
      <c r="E102" s="16"/>
    </row>
    <row r="103" spans="2:5" s="15" customFormat="1">
      <c r="B103" s="16"/>
      <c r="E103" s="16"/>
    </row>
    <row r="104" spans="2:5" s="15" customFormat="1">
      <c r="B104" s="16"/>
      <c r="E104" s="16"/>
    </row>
    <row r="105" spans="2:5" s="15" customFormat="1">
      <c r="B105" s="16"/>
      <c r="E105" s="16"/>
    </row>
    <row r="106" spans="2:5" s="15" customFormat="1">
      <c r="B106" s="16"/>
      <c r="E106" s="16"/>
    </row>
    <row r="107" spans="2:5" s="15" customFormat="1">
      <c r="B107" s="16"/>
      <c r="E107" s="16"/>
    </row>
    <row r="108" spans="2:5" s="15" customFormat="1">
      <c r="B108" s="16"/>
      <c r="E108" s="16"/>
    </row>
    <row r="109" spans="2:5" s="15" customFormat="1">
      <c r="B109" s="16"/>
      <c r="E109" s="16"/>
    </row>
    <row r="110" spans="2:5" s="15" customFormat="1">
      <c r="B110" s="16"/>
      <c r="E110" s="16"/>
    </row>
    <row r="111" spans="2:5" s="15" customFormat="1">
      <c r="B111" s="16"/>
      <c r="E111" s="16"/>
    </row>
    <row r="112" spans="2:5" s="15" customFormat="1">
      <c r="B112" s="16"/>
      <c r="E112" s="16"/>
    </row>
    <row r="113" spans="2:5" s="15" customFormat="1">
      <c r="B113" s="16"/>
      <c r="E113" s="16"/>
    </row>
    <row r="114" spans="2:5" s="15" customFormat="1">
      <c r="B114" s="16"/>
      <c r="E114" s="16"/>
    </row>
    <row r="115" spans="2:5" s="15" customFormat="1">
      <c r="B115" s="16"/>
      <c r="E115" s="16"/>
    </row>
    <row r="116" spans="2:5" s="15" customFormat="1">
      <c r="B116" s="16"/>
      <c r="E116" s="16"/>
    </row>
    <row r="117" spans="2:5" s="15" customFormat="1">
      <c r="B117" s="16"/>
      <c r="E117" s="16"/>
    </row>
    <row r="118" spans="2:5" s="15" customFormat="1">
      <c r="B118" s="16"/>
      <c r="E118" s="16"/>
    </row>
    <row r="119" spans="2:5" s="15" customFormat="1">
      <c r="B119" s="16"/>
      <c r="E119" s="16"/>
    </row>
    <row r="120" spans="2:5" s="15" customFormat="1">
      <c r="B120" s="16"/>
      <c r="E120" s="16"/>
    </row>
    <row r="121" spans="2:5" s="15" customFormat="1">
      <c r="B121" s="16"/>
      <c r="E121" s="16"/>
    </row>
    <row r="122" spans="2:5" s="15" customFormat="1">
      <c r="B122" s="16"/>
      <c r="E122" s="16"/>
    </row>
    <row r="123" spans="2:5" s="15" customFormat="1">
      <c r="B123" s="16"/>
      <c r="E123" s="16"/>
    </row>
    <row r="124" spans="2:5" s="15" customFormat="1">
      <c r="B124" s="16"/>
      <c r="E124" s="16"/>
    </row>
    <row r="125" spans="2:5" s="15" customFormat="1">
      <c r="B125" s="16"/>
      <c r="E125" s="16"/>
    </row>
    <row r="126" spans="2:5" s="15" customFormat="1">
      <c r="B126" s="16"/>
      <c r="E126" s="16"/>
    </row>
    <row r="127" spans="2:5" s="15" customFormat="1">
      <c r="B127" s="16"/>
      <c r="E127" s="16"/>
    </row>
    <row r="128" spans="2:5" s="15" customFormat="1">
      <c r="B128" s="16"/>
      <c r="E128" s="16"/>
    </row>
    <row r="129" spans="2:5" s="15" customFormat="1">
      <c r="B129" s="16"/>
      <c r="E129" s="16"/>
    </row>
    <row r="130" spans="2:5" s="15" customFormat="1">
      <c r="B130" s="16"/>
      <c r="E130" s="16"/>
    </row>
    <row r="131" spans="2:5" s="15" customFormat="1">
      <c r="B131" s="16"/>
      <c r="E131" s="16"/>
    </row>
    <row r="132" spans="2:5" s="15" customFormat="1">
      <c r="B132" s="16"/>
      <c r="E132" s="16"/>
    </row>
    <row r="133" spans="2:5" s="15" customFormat="1">
      <c r="B133" s="16"/>
      <c r="E133" s="16"/>
    </row>
    <row r="134" spans="2:5" s="15" customFormat="1">
      <c r="B134" s="16"/>
      <c r="E134" s="16"/>
    </row>
    <row r="135" spans="2:5" s="15" customFormat="1">
      <c r="B135" s="16"/>
      <c r="E135" s="16"/>
    </row>
    <row r="136" spans="2:5" s="15" customFormat="1">
      <c r="B136" s="16"/>
      <c r="E136" s="16"/>
    </row>
    <row r="137" spans="2:5" s="15" customFormat="1">
      <c r="B137" s="16"/>
      <c r="E137" s="16"/>
    </row>
    <row r="138" spans="2:5" s="15" customFormat="1">
      <c r="B138" s="16"/>
      <c r="E138" s="16"/>
    </row>
    <row r="139" spans="2:5" s="15" customFormat="1">
      <c r="B139" s="16"/>
      <c r="E139" s="16"/>
    </row>
    <row r="140" spans="2:5" s="15" customFormat="1">
      <c r="B140" s="16"/>
      <c r="E140" s="16"/>
    </row>
    <row r="141" spans="2:5" s="15" customFormat="1">
      <c r="B141" s="16"/>
      <c r="E141" s="16"/>
    </row>
    <row r="142" spans="2:5" s="15" customFormat="1">
      <c r="B142" s="16"/>
      <c r="E142" s="16"/>
    </row>
  </sheetData>
  <pageMargins left="0" right="0" top="0" bottom="0" header="0" footer="0"/>
  <pageSetup paperSize="9" scale="85" orientation="landscape" horizontalDpi="4294967293" verticalDpi="0" r:id="rId1"/>
  <ignoredErrors>
    <ignoredError sqref="L37 H3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120" zoomScaleNormal="120" workbookViewId="0">
      <selection activeCell="K3" sqref="K3"/>
    </sheetView>
  </sheetViews>
  <sheetFormatPr defaultRowHeight="11.25"/>
  <cols>
    <col min="1" max="1" width="10.140625" style="15" customWidth="1"/>
    <col min="2" max="9" width="7.5703125" style="15" customWidth="1"/>
    <col min="10" max="10" width="1.7109375" style="15" customWidth="1"/>
    <col min="11" max="11" width="10.42578125" style="15" customWidth="1"/>
    <col min="12" max="19" width="6.5703125" style="15" customWidth="1"/>
    <col min="20" max="20" width="2.5703125" style="15" customWidth="1"/>
    <col min="21" max="21" width="10.5703125" style="15" customWidth="1"/>
    <col min="22" max="16384" width="9.140625" style="15"/>
  </cols>
  <sheetData>
    <row r="1" spans="1:21" ht="15.75" customHeight="1">
      <c r="A1" s="127" t="s">
        <v>123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9.75" customHeight="1">
      <c r="G2" s="90"/>
      <c r="H2" s="91"/>
    </row>
    <row r="3" spans="1:21" ht="12.75" customHeight="1">
      <c r="A3" s="51"/>
      <c r="D3" s="50"/>
    </row>
    <row r="4" spans="1:21" ht="12.75" customHeight="1">
      <c r="A4" s="51"/>
      <c r="D4" s="50"/>
    </row>
    <row r="5" spans="1:21" ht="12.75" customHeight="1">
      <c r="A5" s="51"/>
      <c r="D5" s="50"/>
    </row>
    <row r="6" spans="1:21" ht="12.75" customHeight="1">
      <c r="A6" s="51"/>
      <c r="D6" s="50"/>
    </row>
    <row r="7" spans="1:21" ht="9" customHeight="1">
      <c r="A7" s="82">
        <v>2014</v>
      </c>
      <c r="B7" s="83" t="s">
        <v>111</v>
      </c>
      <c r="C7" s="83" t="s">
        <v>112</v>
      </c>
      <c r="D7" s="83" t="s">
        <v>113</v>
      </c>
      <c r="E7" s="83" t="s">
        <v>114</v>
      </c>
      <c r="F7" s="83" t="s">
        <v>115</v>
      </c>
      <c r="G7" s="83" t="s">
        <v>116</v>
      </c>
      <c r="H7" s="84" t="s">
        <v>117</v>
      </c>
      <c r="I7" s="85"/>
      <c r="K7" s="82">
        <v>2014</v>
      </c>
      <c r="L7" s="83" t="s">
        <v>99</v>
      </c>
      <c r="M7" s="83" t="s">
        <v>94</v>
      </c>
      <c r="N7" s="83" t="s">
        <v>95</v>
      </c>
      <c r="O7" s="83" t="s">
        <v>96</v>
      </c>
      <c r="P7" s="83" t="s">
        <v>97</v>
      </c>
      <c r="Q7" s="83" t="s">
        <v>98</v>
      </c>
      <c r="R7" s="84" t="s">
        <v>107</v>
      </c>
      <c r="S7" s="85"/>
      <c r="T7" s="16"/>
    </row>
    <row r="8" spans="1:21" ht="9" customHeight="1">
      <c r="A8" s="78" t="s">
        <v>67</v>
      </c>
      <c r="B8" s="92"/>
      <c r="C8" s="92"/>
      <c r="D8" s="92"/>
      <c r="E8" s="92"/>
      <c r="F8" s="92">
        <v>80000</v>
      </c>
      <c r="G8" s="92"/>
      <c r="H8" s="92"/>
      <c r="I8" s="93"/>
      <c r="K8" s="78" t="s">
        <v>67</v>
      </c>
      <c r="L8" s="92"/>
      <c r="M8" s="92"/>
      <c r="N8" s="92"/>
      <c r="O8" s="92"/>
      <c r="P8" s="92"/>
      <c r="Q8" s="92"/>
      <c r="R8" s="92"/>
      <c r="S8" s="93"/>
    </row>
    <row r="9" spans="1:21" ht="9" customHeight="1">
      <c r="A9" s="78" t="s">
        <v>104</v>
      </c>
      <c r="B9" s="92"/>
      <c r="C9" s="92"/>
      <c r="D9" s="94"/>
      <c r="E9" s="92">
        <v>62380</v>
      </c>
      <c r="F9" s="92"/>
      <c r="G9" s="92"/>
      <c r="H9" s="92"/>
      <c r="I9" s="93"/>
      <c r="K9" s="78" t="s">
        <v>104</v>
      </c>
      <c r="L9" s="92"/>
      <c r="M9" s="92">
        <v>95644</v>
      </c>
      <c r="N9" s="92"/>
      <c r="O9" s="92"/>
      <c r="P9" s="92"/>
      <c r="Q9" s="92"/>
      <c r="R9" s="92"/>
      <c r="S9" s="93"/>
      <c r="U9" s="16"/>
    </row>
    <row r="10" spans="1:21" s="27" customFormat="1" ht="9" customHeight="1">
      <c r="A10" s="86" t="s">
        <v>108</v>
      </c>
      <c r="B10" s="95">
        <f>SUM(B8:B9)</f>
        <v>0</v>
      </c>
      <c r="C10" s="95">
        <f t="shared" ref="C10" si="0">SUM(C8:C9)</f>
        <v>0</v>
      </c>
      <c r="D10" s="95">
        <f>SUM(D8:D9)</f>
        <v>0</v>
      </c>
      <c r="E10" s="95">
        <f>SUM(E8:E9)</f>
        <v>62380</v>
      </c>
      <c r="F10" s="95">
        <f t="shared" ref="F10" si="1">SUM(F8:F9)</f>
        <v>80000</v>
      </c>
      <c r="G10" s="95">
        <f t="shared" ref="G10" si="2">SUM(G8:G9)</f>
        <v>0</v>
      </c>
      <c r="H10" s="95"/>
      <c r="I10" s="96">
        <f>SUM(B10:H10)</f>
        <v>142380</v>
      </c>
      <c r="K10" s="79" t="s">
        <v>108</v>
      </c>
      <c r="L10" s="101">
        <f>SUM(L8:L9)</f>
        <v>0</v>
      </c>
      <c r="M10" s="101">
        <f t="shared" ref="M10" si="3">SUM(M8:M9)</f>
        <v>95644</v>
      </c>
      <c r="N10" s="101">
        <f t="shared" ref="N10" si="4">SUM(N8:N9)</f>
        <v>0</v>
      </c>
      <c r="O10" s="101">
        <f t="shared" ref="O10" si="5">SUM(O8:O9)</f>
        <v>0</v>
      </c>
      <c r="P10" s="101">
        <f t="shared" ref="P10" si="6">SUM(P8:P9)</f>
        <v>0</v>
      </c>
      <c r="Q10" s="101">
        <f t="shared" ref="Q10" si="7">SUM(Q8:Q9)</f>
        <v>0</v>
      </c>
      <c r="R10" s="101"/>
      <c r="S10" s="102">
        <f>SUM(L10:R10)</f>
        <v>95644</v>
      </c>
      <c r="U10" s="88"/>
    </row>
    <row r="11" spans="1:21" s="27" customFormat="1" ht="9.75" customHeight="1">
      <c r="A11" s="78" t="s">
        <v>119</v>
      </c>
      <c r="B11" s="92">
        <v>11800</v>
      </c>
      <c r="C11" s="92">
        <v>11800</v>
      </c>
      <c r="D11" s="92">
        <v>11800</v>
      </c>
      <c r="E11" s="92">
        <v>11800</v>
      </c>
      <c r="F11" s="92">
        <v>11800</v>
      </c>
      <c r="G11" s="92">
        <v>11800</v>
      </c>
      <c r="H11" s="97"/>
      <c r="I11" s="98"/>
      <c r="J11" s="87"/>
      <c r="K11" s="78" t="s">
        <v>119</v>
      </c>
      <c r="L11" s="92">
        <v>11800</v>
      </c>
      <c r="M11" s="92">
        <v>11800</v>
      </c>
      <c r="N11" s="92">
        <v>11800</v>
      </c>
      <c r="O11" s="92">
        <v>11800</v>
      </c>
      <c r="P11" s="92">
        <v>11800</v>
      </c>
      <c r="Q11" s="92">
        <v>11800</v>
      </c>
      <c r="R11" s="97"/>
      <c r="S11" s="98"/>
      <c r="U11" s="89"/>
    </row>
    <row r="12" spans="1:21" ht="9" customHeight="1">
      <c r="A12" s="78" t="s">
        <v>100</v>
      </c>
      <c r="B12" s="92">
        <v>1000</v>
      </c>
      <c r="C12" s="92">
        <v>1000</v>
      </c>
      <c r="D12" s="92">
        <v>1000</v>
      </c>
      <c r="E12" s="92">
        <v>1000</v>
      </c>
      <c r="F12" s="92">
        <v>1000</v>
      </c>
      <c r="G12" s="92">
        <v>1000</v>
      </c>
      <c r="H12" s="99"/>
      <c r="I12" s="93"/>
      <c r="K12" s="78" t="s">
        <v>100</v>
      </c>
      <c r="L12" s="92">
        <v>1000</v>
      </c>
      <c r="M12" s="92">
        <v>1000</v>
      </c>
      <c r="N12" s="92">
        <v>1000</v>
      </c>
      <c r="O12" s="92">
        <v>1000</v>
      </c>
      <c r="P12" s="92">
        <v>1000</v>
      </c>
      <c r="Q12" s="92">
        <v>1000</v>
      </c>
      <c r="R12" s="99"/>
      <c r="S12" s="93"/>
      <c r="U12" s="89"/>
    </row>
    <row r="13" spans="1:21" ht="9" customHeight="1">
      <c r="A13" s="78" t="s">
        <v>101</v>
      </c>
      <c r="B13" s="92">
        <v>2000</v>
      </c>
      <c r="C13" s="92">
        <v>2000</v>
      </c>
      <c r="D13" s="92">
        <v>2000</v>
      </c>
      <c r="E13" s="92">
        <v>2000</v>
      </c>
      <c r="F13" s="92">
        <v>2000</v>
      </c>
      <c r="G13" s="92">
        <v>2000</v>
      </c>
      <c r="H13" s="99"/>
      <c r="I13" s="93"/>
      <c r="K13" s="78" t="s">
        <v>101</v>
      </c>
      <c r="L13" s="92">
        <v>2000</v>
      </c>
      <c r="M13" s="92">
        <v>2000</v>
      </c>
      <c r="N13" s="92">
        <v>2000</v>
      </c>
      <c r="O13" s="92">
        <v>2000</v>
      </c>
      <c r="P13" s="92">
        <v>2000</v>
      </c>
      <c r="Q13" s="92">
        <v>2000</v>
      </c>
      <c r="R13" s="99"/>
      <c r="S13" s="93"/>
      <c r="U13" s="89"/>
    </row>
    <row r="14" spans="1:21" ht="9" customHeight="1">
      <c r="A14" s="80" t="s">
        <v>118</v>
      </c>
      <c r="B14" s="100"/>
      <c r="C14" s="100"/>
      <c r="D14" s="100"/>
      <c r="E14" s="100"/>
      <c r="F14" s="100"/>
      <c r="G14" s="100"/>
      <c r="H14" s="100"/>
      <c r="I14" s="93"/>
      <c r="K14" s="80" t="s">
        <v>118</v>
      </c>
      <c r="L14" s="100"/>
      <c r="M14" s="100"/>
      <c r="N14" s="100"/>
      <c r="O14" s="100"/>
      <c r="P14" s="100"/>
      <c r="Q14" s="100"/>
      <c r="R14" s="100"/>
      <c r="S14" s="93"/>
      <c r="U14" s="89"/>
    </row>
    <row r="15" spans="1:21" ht="9" customHeight="1">
      <c r="A15" s="80" t="s">
        <v>102</v>
      </c>
      <c r="B15" s="100">
        <f t="shared" ref="B15:B16" si="8">1500*1.066</f>
        <v>1599</v>
      </c>
      <c r="C15" s="100">
        <f t="shared" ref="C15:G16" si="9">1500*1.066</f>
        <v>1599</v>
      </c>
      <c r="D15" s="100">
        <f t="shared" si="9"/>
        <v>1599</v>
      </c>
      <c r="E15" s="100">
        <f t="shared" si="9"/>
        <v>1599</v>
      </c>
      <c r="F15" s="100">
        <f t="shared" si="9"/>
        <v>1599</v>
      </c>
      <c r="G15" s="100">
        <f t="shared" si="9"/>
        <v>1599</v>
      </c>
      <c r="H15" s="100">
        <f>1700*1.066</f>
        <v>1812.2</v>
      </c>
      <c r="I15" s="93"/>
      <c r="K15" s="80" t="s">
        <v>102</v>
      </c>
      <c r="L15" s="100">
        <f t="shared" ref="L15:Q15" si="10">1500*1.066</f>
        <v>1599</v>
      </c>
      <c r="M15" s="100">
        <f t="shared" si="10"/>
        <v>1599</v>
      </c>
      <c r="N15" s="100">
        <f t="shared" si="10"/>
        <v>1599</v>
      </c>
      <c r="O15" s="100">
        <f t="shared" si="10"/>
        <v>1599</v>
      </c>
      <c r="P15" s="100">
        <f t="shared" si="10"/>
        <v>1599</v>
      </c>
      <c r="Q15" s="100">
        <f t="shared" si="10"/>
        <v>1599</v>
      </c>
      <c r="R15" s="100">
        <v>1500</v>
      </c>
      <c r="S15" s="93"/>
      <c r="U15" s="89"/>
    </row>
    <row r="16" spans="1:21" ht="9" customHeight="1">
      <c r="A16" s="80" t="s">
        <v>103</v>
      </c>
      <c r="B16" s="100">
        <f t="shared" si="8"/>
        <v>1599</v>
      </c>
      <c r="C16" s="100">
        <f t="shared" si="9"/>
        <v>1599</v>
      </c>
      <c r="D16" s="100">
        <f t="shared" si="9"/>
        <v>1599</v>
      </c>
      <c r="E16" s="100">
        <f t="shared" si="9"/>
        <v>1599</v>
      </c>
      <c r="F16" s="100">
        <f t="shared" si="9"/>
        <v>1599</v>
      </c>
      <c r="G16" s="100">
        <f t="shared" si="9"/>
        <v>1599</v>
      </c>
      <c r="H16" s="100">
        <f>H15</f>
        <v>1812.2</v>
      </c>
      <c r="I16" s="93"/>
      <c r="K16" s="80" t="s">
        <v>103</v>
      </c>
      <c r="L16" s="100">
        <f>L15</f>
        <v>1599</v>
      </c>
      <c r="M16" s="100">
        <f t="shared" ref="M16:Q16" si="11">M15</f>
        <v>1599</v>
      </c>
      <c r="N16" s="100">
        <f t="shared" si="11"/>
        <v>1599</v>
      </c>
      <c r="O16" s="100">
        <f t="shared" si="11"/>
        <v>1599</v>
      </c>
      <c r="P16" s="100">
        <f t="shared" si="11"/>
        <v>1599</v>
      </c>
      <c r="Q16" s="100">
        <f t="shared" si="11"/>
        <v>1599</v>
      </c>
      <c r="R16" s="100">
        <f>R15</f>
        <v>1500</v>
      </c>
      <c r="S16" s="93"/>
      <c r="U16" s="89"/>
    </row>
    <row r="17" spans="1:21" ht="9" customHeight="1">
      <c r="A17" s="78" t="s">
        <v>105</v>
      </c>
      <c r="B17" s="92">
        <v>1000</v>
      </c>
      <c r="C17" s="92">
        <v>1000</v>
      </c>
      <c r="D17" s="92">
        <v>1000</v>
      </c>
      <c r="E17" s="92">
        <v>1000</v>
      </c>
      <c r="F17" s="92">
        <v>1000</v>
      </c>
      <c r="G17" s="92">
        <v>1000</v>
      </c>
      <c r="H17" s="99"/>
      <c r="I17" s="93"/>
      <c r="K17" s="78" t="s">
        <v>105</v>
      </c>
      <c r="L17" s="92">
        <v>1000</v>
      </c>
      <c r="M17" s="92">
        <v>1000</v>
      </c>
      <c r="N17" s="92">
        <v>1000</v>
      </c>
      <c r="O17" s="92">
        <v>1000</v>
      </c>
      <c r="P17" s="92">
        <v>1000</v>
      </c>
      <c r="Q17" s="92">
        <v>1000</v>
      </c>
      <c r="R17" s="99"/>
      <c r="S17" s="93"/>
      <c r="U17" s="89"/>
    </row>
    <row r="18" spans="1:21" ht="9" customHeight="1">
      <c r="A18" s="78" t="s">
        <v>106</v>
      </c>
      <c r="B18" s="92"/>
      <c r="C18" s="92"/>
      <c r="D18" s="92"/>
      <c r="E18" s="92"/>
      <c r="F18" s="92"/>
      <c r="G18" s="92"/>
      <c r="H18" s="99"/>
      <c r="I18" s="93"/>
      <c r="K18" s="78" t="s">
        <v>106</v>
      </c>
      <c r="L18" s="92"/>
      <c r="M18" s="92"/>
      <c r="N18" s="92"/>
      <c r="O18" s="92"/>
      <c r="P18" s="92"/>
      <c r="Q18" s="92"/>
      <c r="R18" s="99"/>
      <c r="S18" s="93"/>
    </row>
    <row r="19" spans="1:21" s="27" customFormat="1" ht="9" customHeight="1">
      <c r="A19" s="79" t="s">
        <v>109</v>
      </c>
      <c r="B19" s="101">
        <f t="shared" ref="B19:G19" si="12">SUM(B11:B18)</f>
        <v>18998</v>
      </c>
      <c r="C19" s="101">
        <f t="shared" si="12"/>
        <v>18998</v>
      </c>
      <c r="D19" s="101">
        <f t="shared" si="12"/>
        <v>18998</v>
      </c>
      <c r="E19" s="101">
        <f t="shared" si="12"/>
        <v>18998</v>
      </c>
      <c r="F19" s="101">
        <f t="shared" si="12"/>
        <v>18998</v>
      </c>
      <c r="G19" s="101">
        <f t="shared" si="12"/>
        <v>18998</v>
      </c>
      <c r="H19" s="101">
        <f t="shared" ref="H19" si="13">SUM(H12:H18)</f>
        <v>3624.4</v>
      </c>
      <c r="I19" s="102">
        <f>SUM(B19:H19)</f>
        <v>117612.4</v>
      </c>
      <c r="K19" s="79" t="s">
        <v>109</v>
      </c>
      <c r="L19" s="101">
        <f t="shared" ref="L19:Q19" si="14">SUM(L11:L18)</f>
        <v>18998</v>
      </c>
      <c r="M19" s="101">
        <f t="shared" si="14"/>
        <v>18998</v>
      </c>
      <c r="N19" s="101">
        <f t="shared" si="14"/>
        <v>18998</v>
      </c>
      <c r="O19" s="101">
        <f t="shared" si="14"/>
        <v>18998</v>
      </c>
      <c r="P19" s="101">
        <f t="shared" si="14"/>
        <v>18998</v>
      </c>
      <c r="Q19" s="101">
        <f t="shared" si="14"/>
        <v>18998</v>
      </c>
      <c r="R19" s="101">
        <f t="shared" ref="R19" si="15">SUM(R12:R18)</f>
        <v>3000</v>
      </c>
      <c r="S19" s="102">
        <f>SUM(L19:R19)</f>
        <v>116988</v>
      </c>
    </row>
    <row r="20" spans="1:21" ht="9" customHeight="1">
      <c r="A20" s="35"/>
      <c r="B20" s="92"/>
      <c r="C20" s="92"/>
      <c r="D20" s="92"/>
      <c r="E20" s="92"/>
      <c r="F20" s="92"/>
      <c r="G20" s="92"/>
      <c r="H20" s="92"/>
      <c r="I20" s="92"/>
      <c r="K20" s="35"/>
      <c r="L20" s="92"/>
      <c r="M20" s="92"/>
      <c r="N20" s="92"/>
      <c r="O20" s="92"/>
      <c r="P20" s="92"/>
      <c r="Q20" s="92"/>
      <c r="R20" s="92"/>
      <c r="S20" s="92"/>
    </row>
    <row r="21" spans="1:21" s="71" customFormat="1" ht="14.25" customHeight="1">
      <c r="A21" s="59" t="s">
        <v>110</v>
      </c>
      <c r="B21" s="113">
        <f>B10-B19</f>
        <v>-18998</v>
      </c>
      <c r="C21" s="113">
        <f t="shared" ref="C21:H21" si="16">C10-C19</f>
        <v>-18998</v>
      </c>
      <c r="D21" s="113">
        <f t="shared" si="16"/>
        <v>-18998</v>
      </c>
      <c r="E21" s="113">
        <f t="shared" si="16"/>
        <v>43382</v>
      </c>
      <c r="F21" s="113">
        <f t="shared" si="16"/>
        <v>61002</v>
      </c>
      <c r="G21" s="113">
        <f t="shared" si="16"/>
        <v>-18998</v>
      </c>
      <c r="H21" s="113">
        <f t="shared" si="16"/>
        <v>-3624.4</v>
      </c>
      <c r="I21" s="114"/>
      <c r="K21" s="59" t="s">
        <v>110</v>
      </c>
      <c r="L21" s="113">
        <f>L10-L19</f>
        <v>-18998</v>
      </c>
      <c r="M21" s="113">
        <f t="shared" ref="M21:R21" si="17">M10-M19</f>
        <v>76646</v>
      </c>
      <c r="N21" s="113">
        <f t="shared" si="17"/>
        <v>-18998</v>
      </c>
      <c r="O21" s="113">
        <f t="shared" si="17"/>
        <v>-18998</v>
      </c>
      <c r="P21" s="113">
        <f t="shared" si="17"/>
        <v>-18998</v>
      </c>
      <c r="Q21" s="113">
        <f t="shared" si="17"/>
        <v>-18998</v>
      </c>
      <c r="R21" s="113">
        <f t="shared" si="17"/>
        <v>-3000</v>
      </c>
      <c r="S21" s="115"/>
      <c r="U21" s="122" t="s">
        <v>125</v>
      </c>
    </row>
    <row r="22" spans="1:21" s="48" customFormat="1" ht="14.25" customHeight="1">
      <c r="A22" s="49"/>
      <c r="B22" s="117"/>
      <c r="C22" s="117"/>
      <c r="D22" s="117"/>
      <c r="E22" s="117"/>
      <c r="F22" s="117"/>
      <c r="G22" s="117"/>
      <c r="H22" s="117"/>
      <c r="I22" s="117"/>
      <c r="K22" s="49"/>
      <c r="L22" s="117"/>
      <c r="M22" s="117"/>
      <c r="N22" s="117"/>
      <c r="O22" s="117"/>
      <c r="P22" s="117"/>
      <c r="Q22" s="117"/>
      <c r="R22" s="117"/>
      <c r="S22" s="117"/>
      <c r="U22" s="52" t="s">
        <v>126</v>
      </c>
    </row>
    <row r="23" spans="1:21" s="48" customFormat="1" ht="14.25" customHeight="1">
      <c r="A23" s="59" t="s">
        <v>120</v>
      </c>
      <c r="B23" s="119">
        <f>B21</f>
        <v>-18998</v>
      </c>
      <c r="C23" s="119">
        <f t="shared" ref="C23:H23" si="18">B23+C21</f>
        <v>-37996</v>
      </c>
      <c r="D23" s="119">
        <f t="shared" si="18"/>
        <v>-56994</v>
      </c>
      <c r="E23" s="119">
        <f t="shared" si="18"/>
        <v>-13612</v>
      </c>
      <c r="F23" s="120">
        <f t="shared" si="18"/>
        <v>47390</v>
      </c>
      <c r="G23" s="120">
        <f t="shared" si="18"/>
        <v>28392</v>
      </c>
      <c r="H23" s="120">
        <f t="shared" si="18"/>
        <v>24767.599999999999</v>
      </c>
      <c r="I23" s="121"/>
      <c r="K23" s="59" t="s">
        <v>120</v>
      </c>
      <c r="L23" s="120">
        <f>H23+L21</f>
        <v>5769.5999999999985</v>
      </c>
      <c r="M23" s="120">
        <f t="shared" ref="M23:R23" si="19">L23+M21</f>
        <v>82415.600000000006</v>
      </c>
      <c r="N23" s="120">
        <f t="shared" si="19"/>
        <v>63417.600000000006</v>
      </c>
      <c r="O23" s="120">
        <f t="shared" si="19"/>
        <v>44419.600000000006</v>
      </c>
      <c r="P23" s="120">
        <f t="shared" si="19"/>
        <v>25421.600000000006</v>
      </c>
      <c r="Q23" s="120">
        <f t="shared" si="19"/>
        <v>6423.6000000000058</v>
      </c>
      <c r="R23" s="120">
        <f t="shared" si="19"/>
        <v>3423.6000000000058</v>
      </c>
      <c r="S23" s="121"/>
      <c r="U23" s="116" t="s">
        <v>121</v>
      </c>
    </row>
    <row r="24" spans="1:21" ht="12.75">
      <c r="B24" s="94"/>
      <c r="C24" s="94"/>
      <c r="D24" s="94"/>
      <c r="E24" s="94"/>
      <c r="F24" s="94"/>
      <c r="G24" s="94"/>
      <c r="H24" s="94"/>
      <c r="I24" s="94"/>
      <c r="L24" s="94"/>
      <c r="M24" s="94"/>
      <c r="N24" s="94"/>
      <c r="O24" s="94"/>
      <c r="P24" s="94"/>
      <c r="Q24" s="94"/>
      <c r="R24" s="94"/>
      <c r="S24" s="94"/>
      <c r="U24" s="118">
        <f>D23</f>
        <v>-56994</v>
      </c>
    </row>
    <row r="25" spans="1:21" s="123" customFormat="1" ht="12.75">
      <c r="B25" s="124"/>
      <c r="C25" s="124"/>
      <c r="D25" s="124"/>
      <c r="E25" s="124"/>
      <c r="F25" s="124"/>
      <c r="G25" s="124"/>
      <c r="H25" s="124"/>
      <c r="I25" s="124"/>
      <c r="L25" s="124"/>
      <c r="M25" s="124"/>
      <c r="N25" s="124"/>
      <c r="O25" s="124"/>
      <c r="P25" s="124"/>
      <c r="Q25" s="124"/>
      <c r="R25" s="124"/>
      <c r="S25" s="124"/>
      <c r="U25" s="52" t="s">
        <v>124</v>
      </c>
    </row>
    <row r="26" spans="1:21" s="123" customFormat="1" ht="12.75">
      <c r="B26" s="124"/>
      <c r="C26" s="124"/>
      <c r="D26" s="124"/>
      <c r="E26" s="124"/>
      <c r="F26" s="124"/>
      <c r="G26" s="124"/>
      <c r="H26" s="124"/>
      <c r="I26" s="124"/>
      <c r="L26" s="124"/>
      <c r="M26" s="124"/>
      <c r="N26" s="124"/>
      <c r="O26" s="124"/>
      <c r="P26" s="124"/>
      <c r="Q26" s="124"/>
      <c r="R26" s="124"/>
      <c r="S26" s="124"/>
      <c r="U26" s="125"/>
    </row>
    <row r="27" spans="1:21" ht="10.5" customHeight="1">
      <c r="A27" s="81">
        <v>2015</v>
      </c>
      <c r="B27" s="103" t="s">
        <v>111</v>
      </c>
      <c r="C27" s="103" t="s">
        <v>112</v>
      </c>
      <c r="D27" s="103" t="s">
        <v>113</v>
      </c>
      <c r="E27" s="103" t="s">
        <v>114</v>
      </c>
      <c r="F27" s="103" t="s">
        <v>115</v>
      </c>
      <c r="G27" s="103" t="s">
        <v>116</v>
      </c>
      <c r="H27" s="104" t="s">
        <v>117</v>
      </c>
      <c r="I27" s="105"/>
      <c r="K27" s="81">
        <v>2015</v>
      </c>
      <c r="L27" s="103" t="s">
        <v>99</v>
      </c>
      <c r="M27" s="103" t="s">
        <v>94</v>
      </c>
      <c r="N27" s="103" t="s">
        <v>95</v>
      </c>
      <c r="O27" s="103" t="s">
        <v>96</v>
      </c>
      <c r="P27" s="103" t="s">
        <v>97</v>
      </c>
      <c r="Q27" s="103" t="s">
        <v>98</v>
      </c>
      <c r="R27" s="104" t="s">
        <v>107</v>
      </c>
      <c r="S27" s="105"/>
      <c r="U27" s="52"/>
    </row>
    <row r="28" spans="1:21" ht="10.5" customHeight="1">
      <c r="A28" s="78" t="s">
        <v>67</v>
      </c>
      <c r="B28" s="92"/>
      <c r="C28" s="92"/>
      <c r="D28" s="92"/>
      <c r="E28" s="92"/>
      <c r="F28" s="92">
        <v>100000</v>
      </c>
      <c r="G28" s="92"/>
      <c r="H28" s="92"/>
      <c r="I28" s="93"/>
      <c r="K28" s="78" t="s">
        <v>67</v>
      </c>
      <c r="L28" s="92"/>
      <c r="M28" s="92"/>
      <c r="N28" s="92"/>
      <c r="O28" s="92"/>
      <c r="P28" s="92"/>
      <c r="Q28" s="92"/>
      <c r="R28" s="92"/>
      <c r="S28" s="93"/>
    </row>
    <row r="29" spans="1:21" ht="10.5" customHeight="1">
      <c r="A29" s="78" t="s">
        <v>104</v>
      </c>
      <c r="B29" s="92">
        <v>62380</v>
      </c>
      <c r="C29" s="92"/>
      <c r="D29" s="92"/>
      <c r="E29" s="94"/>
      <c r="F29" s="92"/>
      <c r="G29" s="92">
        <v>89380</v>
      </c>
      <c r="H29" s="92"/>
      <c r="I29" s="93"/>
      <c r="K29" s="78" t="s">
        <v>104</v>
      </c>
      <c r="L29" s="92"/>
      <c r="M29" s="92"/>
      <c r="N29" s="92"/>
      <c r="O29" s="92"/>
      <c r="P29" s="92">
        <v>145632</v>
      </c>
      <c r="Q29" s="92"/>
      <c r="R29" s="92"/>
      <c r="S29" s="93"/>
      <c r="U29" s="16"/>
    </row>
    <row r="30" spans="1:21" ht="10.5" customHeight="1">
      <c r="A30" s="86" t="s">
        <v>108</v>
      </c>
      <c r="B30" s="95">
        <f>SUM(B28:B29)</f>
        <v>62380</v>
      </c>
      <c r="C30" s="95">
        <f t="shared" ref="C30" si="20">SUM(C28:C29)</f>
        <v>0</v>
      </c>
      <c r="D30" s="95">
        <f>SUM(D28:D29)</f>
        <v>0</v>
      </c>
      <c r="E30" s="95">
        <f t="shared" ref="E30:F30" si="21">SUM(E28:E29)</f>
        <v>0</v>
      </c>
      <c r="F30" s="95">
        <f t="shared" si="21"/>
        <v>100000</v>
      </c>
      <c r="G30" s="95">
        <f>SUM(G28:G29)</f>
        <v>89380</v>
      </c>
      <c r="H30" s="95"/>
      <c r="I30" s="96">
        <f>SUM(B30:H30)</f>
        <v>251760</v>
      </c>
      <c r="J30" s="27"/>
      <c r="K30" s="79" t="s">
        <v>108</v>
      </c>
      <c r="L30" s="101">
        <f>SUM(L28:L29)</f>
        <v>0</v>
      </c>
      <c r="M30" s="101">
        <f t="shared" ref="M30:Q30" si="22">SUM(M28:M29)</f>
        <v>0</v>
      </c>
      <c r="N30" s="101">
        <f t="shared" si="22"/>
        <v>0</v>
      </c>
      <c r="O30" s="101">
        <f t="shared" si="22"/>
        <v>0</v>
      </c>
      <c r="P30" s="101">
        <f t="shared" si="22"/>
        <v>145632</v>
      </c>
      <c r="Q30" s="101">
        <f t="shared" si="22"/>
        <v>0</v>
      </c>
      <c r="R30" s="101"/>
      <c r="S30" s="102">
        <f>SUM(L30:R30)</f>
        <v>145632</v>
      </c>
      <c r="U30" s="88"/>
    </row>
    <row r="31" spans="1:21" s="27" customFormat="1" ht="9.75" customHeight="1">
      <c r="A31" s="78" t="s">
        <v>119</v>
      </c>
      <c r="B31" s="92">
        <v>11800</v>
      </c>
      <c r="C31" s="92">
        <v>11800</v>
      </c>
      <c r="D31" s="92">
        <v>11800</v>
      </c>
      <c r="E31" s="92">
        <v>11800</v>
      </c>
      <c r="F31" s="92">
        <v>11800</v>
      </c>
      <c r="G31" s="92">
        <v>11800</v>
      </c>
      <c r="H31" s="97"/>
      <c r="I31" s="98"/>
      <c r="J31" s="87"/>
      <c r="K31" s="78" t="s">
        <v>119</v>
      </c>
      <c r="L31" s="92">
        <v>11800</v>
      </c>
      <c r="M31" s="92">
        <v>11800</v>
      </c>
      <c r="N31" s="92">
        <v>11800</v>
      </c>
      <c r="O31" s="92">
        <v>11800</v>
      </c>
      <c r="P31" s="92">
        <v>11800</v>
      </c>
      <c r="Q31" s="92">
        <v>11800</v>
      </c>
      <c r="R31" s="97"/>
      <c r="S31" s="98"/>
    </row>
    <row r="32" spans="1:21" ht="10.5" customHeight="1">
      <c r="A32" s="78" t="s">
        <v>100</v>
      </c>
      <c r="B32" s="92">
        <v>1000</v>
      </c>
      <c r="C32" s="92">
        <v>1000</v>
      </c>
      <c r="D32" s="92">
        <v>1000</v>
      </c>
      <c r="E32" s="92">
        <v>1000</v>
      </c>
      <c r="F32" s="92">
        <v>1000</v>
      </c>
      <c r="G32" s="92">
        <v>1000</v>
      </c>
      <c r="H32" s="99"/>
      <c r="I32" s="93"/>
      <c r="K32" s="78" t="s">
        <v>100</v>
      </c>
      <c r="L32" s="92">
        <v>1000</v>
      </c>
      <c r="M32" s="92">
        <v>1000</v>
      </c>
      <c r="N32" s="92">
        <v>1000</v>
      </c>
      <c r="O32" s="92">
        <v>1000</v>
      </c>
      <c r="P32" s="92">
        <v>1000</v>
      </c>
      <c r="Q32" s="92">
        <v>1000</v>
      </c>
      <c r="R32" s="99"/>
      <c r="S32" s="93"/>
    </row>
    <row r="33" spans="1:21" ht="10.5" customHeight="1">
      <c r="A33" s="78" t="s">
        <v>101</v>
      </c>
      <c r="B33" s="92">
        <v>2000</v>
      </c>
      <c r="C33" s="92">
        <v>2000</v>
      </c>
      <c r="D33" s="92">
        <v>2000</v>
      </c>
      <c r="E33" s="92">
        <v>2000</v>
      </c>
      <c r="F33" s="92">
        <v>2000</v>
      </c>
      <c r="G33" s="92">
        <v>2000</v>
      </c>
      <c r="H33" s="99"/>
      <c r="I33" s="93"/>
      <c r="K33" s="78" t="s">
        <v>101</v>
      </c>
      <c r="L33" s="92">
        <v>2000</v>
      </c>
      <c r="M33" s="92">
        <v>2000</v>
      </c>
      <c r="N33" s="92">
        <v>2000</v>
      </c>
      <c r="O33" s="92">
        <v>2000</v>
      </c>
      <c r="P33" s="92">
        <v>2000</v>
      </c>
      <c r="Q33" s="92">
        <v>2000</v>
      </c>
      <c r="R33" s="99"/>
      <c r="S33" s="93"/>
    </row>
    <row r="34" spans="1:21" ht="10.5" customHeight="1">
      <c r="A34" s="80" t="s">
        <v>118</v>
      </c>
      <c r="B34" s="100"/>
      <c r="C34" s="100"/>
      <c r="D34" s="100"/>
      <c r="E34" s="100"/>
      <c r="F34" s="100"/>
      <c r="G34" s="100"/>
      <c r="H34" s="100"/>
      <c r="I34" s="93"/>
      <c r="K34" s="80" t="s">
        <v>118</v>
      </c>
      <c r="L34" s="100"/>
      <c r="M34" s="100"/>
      <c r="N34" s="100"/>
      <c r="O34" s="100"/>
      <c r="P34" s="100"/>
      <c r="Q34" s="100"/>
      <c r="R34" s="100"/>
      <c r="S34" s="93"/>
    </row>
    <row r="35" spans="1:21" ht="10.5" customHeight="1">
      <c r="A35" s="80" t="s">
        <v>102</v>
      </c>
      <c r="B35" s="100">
        <f t="shared" ref="B35:G36" si="23">1500*1.066</f>
        <v>1599</v>
      </c>
      <c r="C35" s="100">
        <f t="shared" si="23"/>
        <v>1599</v>
      </c>
      <c r="D35" s="100">
        <f t="shared" si="23"/>
        <v>1599</v>
      </c>
      <c r="E35" s="100">
        <f t="shared" si="23"/>
        <v>1599</v>
      </c>
      <c r="F35" s="100">
        <f t="shared" si="23"/>
        <v>1599</v>
      </c>
      <c r="G35" s="100">
        <f t="shared" si="23"/>
        <v>1599</v>
      </c>
      <c r="H35" s="100">
        <f>1700*1.066</f>
        <v>1812.2</v>
      </c>
      <c r="I35" s="93"/>
      <c r="K35" s="80" t="s">
        <v>102</v>
      </c>
      <c r="L35" s="100">
        <f t="shared" ref="L35:Q35" si="24">1500*1.066</f>
        <v>1599</v>
      </c>
      <c r="M35" s="100">
        <f t="shared" si="24"/>
        <v>1599</v>
      </c>
      <c r="N35" s="100">
        <f t="shared" si="24"/>
        <v>1599</v>
      </c>
      <c r="O35" s="100">
        <f t="shared" si="24"/>
        <v>1599</v>
      </c>
      <c r="P35" s="100">
        <f t="shared" si="24"/>
        <v>1599</v>
      </c>
      <c r="Q35" s="100">
        <f t="shared" si="24"/>
        <v>1599</v>
      </c>
      <c r="R35" s="100">
        <f>R34</f>
        <v>0</v>
      </c>
      <c r="S35" s="93"/>
    </row>
    <row r="36" spans="1:21" ht="10.5" customHeight="1">
      <c r="A36" s="80" t="s">
        <v>103</v>
      </c>
      <c r="B36" s="100">
        <f t="shared" si="23"/>
        <v>1599</v>
      </c>
      <c r="C36" s="100">
        <f t="shared" si="23"/>
        <v>1599</v>
      </c>
      <c r="D36" s="100">
        <f t="shared" si="23"/>
        <v>1599</v>
      </c>
      <c r="E36" s="100">
        <f t="shared" si="23"/>
        <v>1599</v>
      </c>
      <c r="F36" s="100">
        <f t="shared" si="23"/>
        <v>1599</v>
      </c>
      <c r="G36" s="100">
        <f t="shared" si="23"/>
        <v>1599</v>
      </c>
      <c r="H36" s="100">
        <f>H35*50%</f>
        <v>906.1</v>
      </c>
      <c r="I36" s="93"/>
      <c r="K36" s="80" t="s">
        <v>103</v>
      </c>
      <c r="L36" s="100"/>
      <c r="M36" s="100"/>
      <c r="N36" s="100"/>
      <c r="O36" s="100"/>
      <c r="P36" s="100"/>
      <c r="Q36" s="100"/>
      <c r="R36" s="100">
        <f>1500/2</f>
        <v>750</v>
      </c>
      <c r="S36" s="93"/>
    </row>
    <row r="37" spans="1:21" ht="10.5" customHeight="1">
      <c r="A37" s="78" t="s">
        <v>105</v>
      </c>
      <c r="B37" s="92">
        <v>1000</v>
      </c>
      <c r="C37" s="92">
        <v>1000</v>
      </c>
      <c r="D37" s="92">
        <v>1000</v>
      </c>
      <c r="E37" s="92">
        <v>1000</v>
      </c>
      <c r="F37" s="92">
        <v>1000</v>
      </c>
      <c r="G37" s="92">
        <v>1000</v>
      </c>
      <c r="H37" s="99"/>
      <c r="I37" s="93"/>
      <c r="K37" s="78" t="s">
        <v>105</v>
      </c>
      <c r="L37" s="92">
        <v>1000</v>
      </c>
      <c r="M37" s="92">
        <v>1000</v>
      </c>
      <c r="N37" s="92">
        <v>1000</v>
      </c>
      <c r="O37" s="92">
        <v>1000</v>
      </c>
      <c r="P37" s="92">
        <v>1000</v>
      </c>
      <c r="Q37" s="92">
        <v>1000</v>
      </c>
      <c r="R37" s="99"/>
      <c r="S37" s="93"/>
    </row>
    <row r="38" spans="1:21" ht="10.5" customHeight="1">
      <c r="A38" s="78" t="s">
        <v>106</v>
      </c>
      <c r="B38" s="92"/>
      <c r="C38" s="92"/>
      <c r="D38" s="92"/>
      <c r="E38" s="92"/>
      <c r="F38" s="92"/>
      <c r="G38" s="92"/>
      <c r="H38" s="99"/>
      <c r="I38" s="93"/>
      <c r="K38" s="78" t="s">
        <v>106</v>
      </c>
      <c r="L38" s="92"/>
      <c r="M38" s="92"/>
      <c r="N38" s="92"/>
      <c r="O38" s="92"/>
      <c r="P38" s="92"/>
      <c r="Q38" s="92"/>
      <c r="R38" s="99"/>
      <c r="S38" s="93"/>
    </row>
    <row r="39" spans="1:21" ht="10.5" customHeight="1">
      <c r="A39" s="79" t="s">
        <v>109</v>
      </c>
      <c r="B39" s="101">
        <f t="shared" ref="B39" si="25">SUM(B31:B38)</f>
        <v>18998</v>
      </c>
      <c r="C39" s="101">
        <f t="shared" ref="C39" si="26">SUM(C31:C38)</f>
        <v>18998</v>
      </c>
      <c r="D39" s="101">
        <f t="shared" ref="D39" si="27">SUM(D31:D38)</f>
        <v>18998</v>
      </c>
      <c r="E39" s="101">
        <f t="shared" ref="E39" si="28">SUM(E31:E38)</f>
        <v>18998</v>
      </c>
      <c r="F39" s="101">
        <f t="shared" ref="F39" si="29">SUM(F31:F38)</f>
        <v>18998</v>
      </c>
      <c r="G39" s="101">
        <f t="shared" ref="G39" si="30">SUM(G31:G38)</f>
        <v>18998</v>
      </c>
      <c r="H39" s="101">
        <f t="shared" ref="H39" si="31">SUM(H32:H38)</f>
        <v>2718.3</v>
      </c>
      <c r="I39" s="102">
        <f>SUM(B39:H39)</f>
        <v>116706.3</v>
      </c>
      <c r="J39" s="27"/>
      <c r="K39" s="79" t="s">
        <v>109</v>
      </c>
      <c r="L39" s="101">
        <f t="shared" ref="L39" si="32">SUM(L31:L38)</f>
        <v>17399</v>
      </c>
      <c r="M39" s="101">
        <f t="shared" ref="M39" si="33">SUM(M31:M38)</f>
        <v>17399</v>
      </c>
      <c r="N39" s="101">
        <f t="shared" ref="N39" si="34">SUM(N31:N38)</f>
        <v>17399</v>
      </c>
      <c r="O39" s="101">
        <f t="shared" ref="O39" si="35">SUM(O31:O38)</f>
        <v>17399</v>
      </c>
      <c r="P39" s="101">
        <f t="shared" ref="P39" si="36">SUM(P31:P38)</f>
        <v>17399</v>
      </c>
      <c r="Q39" s="101">
        <f t="shared" ref="Q39" si="37">SUM(Q31:Q38)</f>
        <v>17399</v>
      </c>
      <c r="R39" s="101">
        <f t="shared" ref="R39" si="38">SUM(R32:R38)</f>
        <v>750</v>
      </c>
      <c r="S39" s="102">
        <f>SUM(L39:R39)</f>
        <v>105144</v>
      </c>
    </row>
    <row r="40" spans="1:21" ht="10.5" customHeight="1">
      <c r="A40" s="35"/>
      <c r="B40" s="92"/>
      <c r="C40" s="92"/>
      <c r="D40" s="92"/>
      <c r="E40" s="92"/>
      <c r="F40" s="92"/>
      <c r="G40" s="92"/>
      <c r="H40" s="92"/>
      <c r="I40" s="92"/>
      <c r="K40" s="35"/>
      <c r="L40" s="92"/>
      <c r="M40" s="92"/>
      <c r="N40" s="92"/>
      <c r="O40" s="92"/>
      <c r="P40" s="92"/>
      <c r="Q40" s="92"/>
      <c r="R40" s="92"/>
      <c r="S40" s="92"/>
    </row>
    <row r="41" spans="1:21" s="48" customFormat="1" ht="12.75" customHeight="1">
      <c r="A41" s="59" t="s">
        <v>110</v>
      </c>
      <c r="B41" s="113">
        <f>B30-B39</f>
        <v>43382</v>
      </c>
      <c r="C41" s="113">
        <f t="shared" ref="C41:H41" si="39">C30-C39</f>
        <v>-18998</v>
      </c>
      <c r="D41" s="113">
        <f t="shared" si="39"/>
        <v>-18998</v>
      </c>
      <c r="E41" s="113">
        <f t="shared" si="39"/>
        <v>-18998</v>
      </c>
      <c r="F41" s="113">
        <f t="shared" si="39"/>
        <v>81002</v>
      </c>
      <c r="G41" s="113">
        <f t="shared" si="39"/>
        <v>70382</v>
      </c>
      <c r="H41" s="113">
        <f t="shared" si="39"/>
        <v>-2718.3</v>
      </c>
      <c r="I41" s="114"/>
      <c r="J41" s="71"/>
      <c r="K41" s="59" t="s">
        <v>110</v>
      </c>
      <c r="L41" s="113">
        <f>L30-L39</f>
        <v>-17399</v>
      </c>
      <c r="M41" s="113">
        <f t="shared" ref="M41:R41" si="40">M30-M39</f>
        <v>-17399</v>
      </c>
      <c r="N41" s="113">
        <f t="shared" si="40"/>
        <v>-17399</v>
      </c>
      <c r="O41" s="113">
        <f t="shared" si="40"/>
        <v>-17399</v>
      </c>
      <c r="P41" s="107">
        <f t="shared" si="40"/>
        <v>128233</v>
      </c>
      <c r="Q41" s="113">
        <f t="shared" si="40"/>
        <v>-17399</v>
      </c>
      <c r="R41" s="113">
        <f t="shared" si="40"/>
        <v>-750</v>
      </c>
      <c r="S41" s="115"/>
      <c r="U41" s="122" t="s">
        <v>125</v>
      </c>
    </row>
    <row r="42" spans="1:21" s="48" customFormat="1" ht="12.75" customHeight="1">
      <c r="A42" s="49"/>
      <c r="B42" s="117"/>
      <c r="C42" s="117"/>
      <c r="D42" s="117"/>
      <c r="E42" s="117"/>
      <c r="F42" s="117"/>
      <c r="G42" s="117"/>
      <c r="H42" s="117"/>
      <c r="I42" s="117"/>
      <c r="K42" s="49"/>
      <c r="L42" s="117"/>
      <c r="M42" s="117"/>
      <c r="N42" s="117"/>
      <c r="O42" s="117"/>
      <c r="P42" s="117"/>
      <c r="Q42" s="117"/>
      <c r="R42" s="117"/>
      <c r="S42" s="117"/>
      <c r="U42" s="52" t="s">
        <v>126</v>
      </c>
    </row>
    <row r="43" spans="1:21" s="109" customFormat="1" ht="12.75" customHeight="1">
      <c r="A43" s="106" t="s">
        <v>120</v>
      </c>
      <c r="B43" s="111">
        <f>B41</f>
        <v>43382</v>
      </c>
      <c r="C43" s="111">
        <f t="shared" ref="C43" si="41">B43+C41</f>
        <v>24384</v>
      </c>
      <c r="D43" s="111">
        <f t="shared" ref="D43" si="42">C43+D41</f>
        <v>5386</v>
      </c>
      <c r="E43" s="110">
        <f t="shared" ref="E43" si="43">D43+E41</f>
        <v>-13612</v>
      </c>
      <c r="F43" s="111">
        <f t="shared" ref="F43" si="44">E43+F41</f>
        <v>67390</v>
      </c>
      <c r="G43" s="111">
        <f t="shared" ref="G43" si="45">F43+G41</f>
        <v>137772</v>
      </c>
      <c r="H43" s="111">
        <f t="shared" ref="H43" si="46">G43+H41</f>
        <v>135053.70000000001</v>
      </c>
      <c r="I43" s="112"/>
      <c r="K43" s="106" t="s">
        <v>120</v>
      </c>
      <c r="L43" s="111">
        <f>H43+L41</f>
        <v>117654.70000000001</v>
      </c>
      <c r="M43" s="111">
        <f t="shared" ref="M43" si="47">L43+M41</f>
        <v>100255.70000000001</v>
      </c>
      <c r="N43" s="111">
        <f t="shared" ref="N43" si="48">M43+N41</f>
        <v>82856.700000000012</v>
      </c>
      <c r="O43" s="111">
        <f t="shared" ref="O43" si="49">N43+O41</f>
        <v>65457.700000000012</v>
      </c>
      <c r="P43" s="111">
        <f t="shared" ref="P43" si="50">O43+P41</f>
        <v>193690.7</v>
      </c>
      <c r="Q43" s="111">
        <f t="shared" ref="Q43" si="51">P43+Q41</f>
        <v>176291.7</v>
      </c>
      <c r="R43" s="111">
        <f t="shared" ref="R43" si="52">Q43+R41</f>
        <v>175541.7</v>
      </c>
      <c r="S43" s="112"/>
      <c r="U43" s="108" t="s">
        <v>122</v>
      </c>
    </row>
    <row r="44" spans="1:21" s="48" customFormat="1" ht="12.75" customHeight="1">
      <c r="B44" s="126"/>
      <c r="C44" s="126"/>
      <c r="D44" s="126"/>
      <c r="E44" s="126"/>
      <c r="F44" s="126"/>
      <c r="G44" s="126"/>
      <c r="H44" s="126"/>
      <c r="I44" s="126"/>
      <c r="L44" s="126"/>
      <c r="M44" s="126"/>
      <c r="N44" s="126"/>
      <c r="O44" s="126"/>
      <c r="P44" s="126"/>
      <c r="Q44" s="126"/>
      <c r="R44" s="126"/>
      <c r="S44" s="126"/>
      <c r="U44" s="118">
        <f>E43</f>
        <v>-13612</v>
      </c>
    </row>
    <row r="45" spans="1:21" ht="12.75">
      <c r="U45" s="52" t="s">
        <v>124</v>
      </c>
    </row>
  </sheetData>
  <pageMargins left="0" right="0" top="0" bottom="0" header="0" footer="0"/>
  <pageSetup paperSize="9" scale="75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10" sqref="A10"/>
    </sheetView>
  </sheetViews>
  <sheetFormatPr defaultColWidth="10.28515625" defaultRowHeight="12.75"/>
  <cols>
    <col min="1" max="1" width="3.140625" style="48" customWidth="1"/>
    <col min="2" max="2" width="16.28515625" style="48" customWidth="1"/>
    <col min="3" max="3" width="16.28515625" style="52" customWidth="1"/>
    <col min="4" max="4" width="15.140625" style="52" customWidth="1"/>
    <col min="5" max="5" width="10.28515625" style="48"/>
    <col min="6" max="6" width="15.5703125" style="48" customWidth="1"/>
    <col min="7" max="7" width="2.85546875" style="48" customWidth="1"/>
    <col min="8" max="8" width="10.28515625" style="48"/>
    <col min="9" max="9" width="13.7109375" style="48" customWidth="1"/>
    <col min="10" max="10" width="3.28515625" style="48" customWidth="1"/>
    <col min="11" max="11" width="10.28515625" style="48"/>
    <col min="12" max="12" width="16.42578125" style="48" customWidth="1"/>
    <col min="13" max="16384" width="10.28515625" style="48"/>
  </cols>
  <sheetData>
    <row r="1" spans="1:12" s="71" customFormat="1">
      <c r="A1" s="72"/>
      <c r="B1" s="72" t="s">
        <v>87</v>
      </c>
      <c r="C1" s="73"/>
      <c r="D1" s="73"/>
      <c r="E1" s="72"/>
      <c r="F1" s="72"/>
      <c r="G1" s="72"/>
      <c r="H1" s="72"/>
      <c r="I1" s="72"/>
      <c r="J1" s="72"/>
      <c r="K1" s="72"/>
      <c r="L1" s="72"/>
    </row>
    <row r="3" spans="1:12" s="71" customFormat="1">
      <c r="A3" s="72" t="s">
        <v>90</v>
      </c>
      <c r="B3" s="72" t="s">
        <v>91</v>
      </c>
      <c r="C3" s="73"/>
      <c r="D3" s="73"/>
      <c r="E3" s="72"/>
      <c r="F3" s="72"/>
      <c r="G3" s="72"/>
      <c r="H3" s="72"/>
      <c r="I3" s="72"/>
      <c r="J3" s="72"/>
      <c r="K3" s="72"/>
      <c r="L3" s="72"/>
    </row>
    <row r="4" spans="1:12">
      <c r="B4" s="48" t="s">
        <v>92</v>
      </c>
      <c r="C4" s="56">
        <v>34474</v>
      </c>
    </row>
    <row r="5" spans="1:12">
      <c r="B5" s="48" t="s">
        <v>93</v>
      </c>
      <c r="C5" s="56">
        <v>14774</v>
      </c>
    </row>
    <row r="8" spans="1:12" s="71" customFormat="1">
      <c r="A8" s="72" t="s">
        <v>88</v>
      </c>
      <c r="B8" s="72" t="s">
        <v>89</v>
      </c>
      <c r="C8" s="73"/>
      <c r="D8" s="73"/>
      <c r="E8" s="72"/>
      <c r="F8" s="72"/>
      <c r="G8" s="72"/>
      <c r="H8" s="72"/>
      <c r="I8" s="72"/>
      <c r="J8" s="72"/>
      <c r="K8" s="72"/>
      <c r="L8" s="72"/>
    </row>
    <row r="10" spans="1:12">
      <c r="A10" s="77"/>
      <c r="B10" s="74" t="s">
        <v>69</v>
      </c>
      <c r="C10" s="74" t="s">
        <v>72</v>
      </c>
      <c r="D10" s="74" t="s">
        <v>73</v>
      </c>
      <c r="E10" s="74" t="s">
        <v>70</v>
      </c>
      <c r="F10" s="75" t="s">
        <v>71</v>
      </c>
      <c r="G10" s="62"/>
      <c r="H10" s="68" t="s">
        <v>83</v>
      </c>
      <c r="I10" s="69" t="s">
        <v>84</v>
      </c>
      <c r="K10" s="65" t="s">
        <v>85</v>
      </c>
      <c r="L10" s="66" t="s">
        <v>86</v>
      </c>
    </row>
    <row r="11" spans="1:12">
      <c r="A11" s="53"/>
      <c r="B11" s="55"/>
      <c r="C11" s="55"/>
      <c r="D11" s="55"/>
      <c r="E11" s="55"/>
      <c r="F11" s="61"/>
      <c r="G11" s="62"/>
      <c r="H11" s="53"/>
      <c r="I11" s="57"/>
      <c r="K11" s="53"/>
      <c r="L11" s="57"/>
    </row>
    <row r="12" spans="1:12">
      <c r="A12" s="53">
        <v>1</v>
      </c>
      <c r="B12" s="53" t="s">
        <v>74</v>
      </c>
      <c r="C12" s="55">
        <v>16.8</v>
      </c>
      <c r="D12" s="55">
        <v>300</v>
      </c>
      <c r="E12" s="58">
        <v>30</v>
      </c>
      <c r="F12" s="56">
        <f>E12*D12*C12</f>
        <v>151200</v>
      </c>
      <c r="G12" s="63"/>
      <c r="H12" s="64">
        <v>0.3</v>
      </c>
      <c r="I12" s="56">
        <f t="shared" ref="I12:I20" si="0">F12*H12</f>
        <v>45360</v>
      </c>
      <c r="K12" s="64">
        <v>0.7</v>
      </c>
      <c r="L12" s="56">
        <f>K12*F12</f>
        <v>105840</v>
      </c>
    </row>
    <row r="13" spans="1:12">
      <c r="A13" s="53">
        <f>A12+1</f>
        <v>2</v>
      </c>
      <c r="B13" s="53" t="s">
        <v>75</v>
      </c>
      <c r="C13" s="55">
        <v>16.09</v>
      </c>
      <c r="D13" s="55">
        <v>300</v>
      </c>
      <c r="E13" s="58">
        <f>E12</f>
        <v>30</v>
      </c>
      <c r="F13" s="56">
        <f t="shared" ref="F13:F20" si="1">E13*D13*C13</f>
        <v>144810</v>
      </c>
      <c r="G13" s="63"/>
      <c r="H13" s="64">
        <v>0.3</v>
      </c>
      <c r="I13" s="56">
        <f t="shared" si="0"/>
        <v>43443</v>
      </c>
      <c r="K13" s="64">
        <v>0.7</v>
      </c>
      <c r="L13" s="56">
        <f t="shared" ref="L13:L20" si="2">K13*F13</f>
        <v>101367</v>
      </c>
    </row>
    <row r="14" spans="1:12">
      <c r="A14" s="53">
        <f t="shared" ref="A14:A20" si="3">A13+1</f>
        <v>3</v>
      </c>
      <c r="B14" s="53" t="s">
        <v>76</v>
      </c>
      <c r="C14" s="55">
        <v>12.86</v>
      </c>
      <c r="D14" s="55">
        <v>300</v>
      </c>
      <c r="E14" s="58">
        <f t="shared" ref="E14:E20" si="4">E13</f>
        <v>30</v>
      </c>
      <c r="F14" s="56">
        <f t="shared" si="1"/>
        <v>115740</v>
      </c>
      <c r="G14" s="63"/>
      <c r="H14" s="64">
        <v>0.3</v>
      </c>
      <c r="I14" s="56">
        <f t="shared" si="0"/>
        <v>34722</v>
      </c>
      <c r="K14" s="64">
        <v>0.7</v>
      </c>
      <c r="L14" s="56">
        <f t="shared" si="2"/>
        <v>81018</v>
      </c>
    </row>
    <row r="15" spans="1:12">
      <c r="A15" s="53">
        <f t="shared" si="3"/>
        <v>4</v>
      </c>
      <c r="B15" s="53" t="s">
        <v>77</v>
      </c>
      <c r="C15" s="55">
        <v>24.7</v>
      </c>
      <c r="D15" s="55">
        <v>300</v>
      </c>
      <c r="E15" s="58">
        <f t="shared" si="4"/>
        <v>30</v>
      </c>
      <c r="F15" s="56">
        <f t="shared" si="1"/>
        <v>222300</v>
      </c>
      <c r="G15" s="63"/>
      <c r="H15" s="64">
        <v>0.3</v>
      </c>
      <c r="I15" s="56">
        <f t="shared" si="0"/>
        <v>66690</v>
      </c>
      <c r="K15" s="64">
        <v>0.7</v>
      </c>
      <c r="L15" s="56">
        <f t="shared" si="2"/>
        <v>155610</v>
      </c>
    </row>
    <row r="16" spans="1:12">
      <c r="A16" s="53">
        <f t="shared" si="3"/>
        <v>5</v>
      </c>
      <c r="B16" s="53" t="s">
        <v>78</v>
      </c>
      <c r="C16" s="55">
        <v>24.6</v>
      </c>
      <c r="D16" s="55">
        <v>300</v>
      </c>
      <c r="E16" s="58">
        <f t="shared" si="4"/>
        <v>30</v>
      </c>
      <c r="F16" s="56">
        <f t="shared" si="1"/>
        <v>221400</v>
      </c>
      <c r="G16" s="63"/>
      <c r="H16" s="64">
        <v>0.5</v>
      </c>
      <c r="I16" s="56">
        <f t="shared" si="0"/>
        <v>110700</v>
      </c>
      <c r="K16" s="64">
        <v>0.5</v>
      </c>
      <c r="L16" s="56">
        <f t="shared" si="2"/>
        <v>110700</v>
      </c>
    </row>
    <row r="17" spans="1:12">
      <c r="A17" s="53">
        <f t="shared" si="3"/>
        <v>6</v>
      </c>
      <c r="B17" s="53" t="s">
        <v>79</v>
      </c>
      <c r="C17" s="55">
        <v>14.9</v>
      </c>
      <c r="D17" s="55">
        <v>300</v>
      </c>
      <c r="E17" s="58">
        <f t="shared" si="4"/>
        <v>30</v>
      </c>
      <c r="F17" s="56">
        <f t="shared" si="1"/>
        <v>134100</v>
      </c>
      <c r="G17" s="63"/>
      <c r="H17" s="64">
        <v>0.5</v>
      </c>
      <c r="I17" s="56">
        <f t="shared" si="0"/>
        <v>67050</v>
      </c>
      <c r="K17" s="64">
        <v>0.5</v>
      </c>
      <c r="L17" s="56">
        <f t="shared" si="2"/>
        <v>67050</v>
      </c>
    </row>
    <row r="18" spans="1:12">
      <c r="A18" s="53">
        <f t="shared" si="3"/>
        <v>7</v>
      </c>
      <c r="B18" s="53" t="s">
        <v>80</v>
      </c>
      <c r="C18" s="55">
        <v>10.3</v>
      </c>
      <c r="D18" s="55">
        <v>300</v>
      </c>
      <c r="E18" s="58">
        <f t="shared" si="4"/>
        <v>30</v>
      </c>
      <c r="F18" s="56">
        <f t="shared" si="1"/>
        <v>92700</v>
      </c>
      <c r="G18" s="63"/>
      <c r="H18" s="64">
        <v>0.5</v>
      </c>
      <c r="I18" s="56">
        <f t="shared" si="0"/>
        <v>46350</v>
      </c>
      <c r="K18" s="64">
        <v>0.5</v>
      </c>
      <c r="L18" s="56">
        <f t="shared" si="2"/>
        <v>46350</v>
      </c>
    </row>
    <row r="19" spans="1:12">
      <c r="A19" s="53">
        <f t="shared" si="3"/>
        <v>8</v>
      </c>
      <c r="B19" s="53" t="s">
        <v>81</v>
      </c>
      <c r="C19" s="55">
        <v>22.4</v>
      </c>
      <c r="D19" s="55">
        <v>300</v>
      </c>
      <c r="E19" s="58">
        <f t="shared" si="4"/>
        <v>30</v>
      </c>
      <c r="F19" s="56">
        <f t="shared" si="1"/>
        <v>201600</v>
      </c>
      <c r="G19" s="63"/>
      <c r="H19" s="64">
        <v>0.5</v>
      </c>
      <c r="I19" s="56">
        <f t="shared" si="0"/>
        <v>100800</v>
      </c>
      <c r="K19" s="64">
        <v>0.5</v>
      </c>
      <c r="L19" s="56">
        <f t="shared" si="2"/>
        <v>100800</v>
      </c>
    </row>
    <row r="20" spans="1:12">
      <c r="A20" s="53">
        <f t="shared" si="3"/>
        <v>9</v>
      </c>
      <c r="B20" s="53" t="s">
        <v>82</v>
      </c>
      <c r="C20" s="55">
        <v>16.5</v>
      </c>
      <c r="D20" s="55">
        <v>300</v>
      </c>
      <c r="E20" s="58">
        <f t="shared" si="4"/>
        <v>30</v>
      </c>
      <c r="F20" s="56">
        <f t="shared" si="1"/>
        <v>148500</v>
      </c>
      <c r="G20" s="63"/>
      <c r="H20" s="64">
        <v>0.3</v>
      </c>
      <c r="I20" s="56">
        <f t="shared" si="0"/>
        <v>44550</v>
      </c>
      <c r="K20" s="64">
        <v>0.7</v>
      </c>
      <c r="L20" s="56">
        <f t="shared" si="2"/>
        <v>103950</v>
      </c>
    </row>
    <row r="21" spans="1:12">
      <c r="A21" s="53"/>
      <c r="B21" s="53"/>
      <c r="C21" s="55"/>
      <c r="D21" s="55"/>
      <c r="E21" s="53"/>
      <c r="F21" s="57"/>
      <c r="G21" s="49"/>
      <c r="H21" s="53"/>
      <c r="I21" s="56"/>
      <c r="K21" s="53"/>
      <c r="L21" s="56"/>
    </row>
    <row r="22" spans="1:12">
      <c r="A22" s="59"/>
      <c r="B22" s="59" t="s">
        <v>68</v>
      </c>
      <c r="C22" s="60">
        <f>SUM(C12:C21)</f>
        <v>159.15</v>
      </c>
      <c r="D22" s="60"/>
      <c r="E22" s="59"/>
      <c r="F22" s="76">
        <f>SUM(F12:F21)</f>
        <v>1432350</v>
      </c>
      <c r="G22" s="63"/>
      <c r="H22" s="54"/>
      <c r="I22" s="70">
        <f>SUM(I12:I21)</f>
        <v>559665</v>
      </c>
      <c r="K22" s="54"/>
      <c r="L22" s="67">
        <f>SUM(L12:L21)</f>
        <v>872685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gado paga 100% desp operacional</vt:lpstr>
      <vt:lpstr>de 6 em 6 meses</vt:lpstr>
      <vt:lpstr>Plan1</vt:lpstr>
      <vt:lpstr>Plan2</vt:lpstr>
      <vt:lpstr>Gráf1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Leonardo</cp:lastModifiedBy>
  <cp:lastPrinted>2013-10-30T17:33:01Z</cp:lastPrinted>
  <dcterms:created xsi:type="dcterms:W3CDTF">2012-10-22T16:47:53Z</dcterms:created>
  <dcterms:modified xsi:type="dcterms:W3CDTF">2014-02-07T10:52:31Z</dcterms:modified>
</cp:coreProperties>
</file>