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firstSheet="3" activeTab="3"/>
  </bookViews>
  <sheets>
    <sheet name="analise financ ciclo curto" sheetId="6" r:id="rId1"/>
    <sheet name="analise financ ciclo longo 1111" sheetId="11" r:id="rId2"/>
    <sheet name="analise financ ciclo longo 816" sheetId="13" r:id="rId3"/>
    <sheet name="decisões de investimento 1" sheetId="14" r:id="rId4"/>
    <sheet name="analise com custo da terra" sheetId="15" r:id="rId5"/>
    <sheet name="plantio x habib´s" sheetId="16" r:id="rId6"/>
    <sheet name="pl apoio informacoes" sheetId="4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L14" i="16"/>
  <c r="L15" s="1"/>
  <c r="H14"/>
  <c r="H15" s="1"/>
  <c r="D15"/>
  <c r="D14"/>
  <c r="P32" i="11"/>
  <c r="D67" i="16" l="1"/>
  <c r="I67"/>
  <c r="N67"/>
  <c r="K18"/>
  <c r="J18"/>
  <c r="G18"/>
  <c r="F18"/>
  <c r="B18"/>
  <c r="C18"/>
  <c r="B16"/>
  <c r="F16"/>
  <c r="J16"/>
  <c r="K17"/>
  <c r="K15"/>
  <c r="K16" s="1"/>
  <c r="G17"/>
  <c r="G15"/>
  <c r="G16" s="1"/>
  <c r="C17"/>
  <c r="C15"/>
  <c r="C16" s="1"/>
  <c r="I14" i="14"/>
  <c r="M33" i="16"/>
  <c r="H33"/>
  <c r="C33"/>
  <c r="K32" i="15"/>
  <c r="K40"/>
  <c r="K41"/>
  <c r="K95"/>
  <c r="K96"/>
  <c r="K44"/>
  <c r="M91" i="16"/>
  <c r="L91"/>
  <c r="N69"/>
  <c r="I69"/>
  <c r="D69"/>
  <c r="C38"/>
  <c r="C48" s="1"/>
  <c r="D102" s="1"/>
  <c r="H34"/>
  <c r="M34" s="1"/>
  <c r="M42" s="1"/>
  <c r="N96" s="1"/>
  <c r="M37"/>
  <c r="C37"/>
  <c r="H37"/>
  <c r="L38"/>
  <c r="L39" s="1"/>
  <c r="L40" s="1"/>
  <c r="L41" s="1"/>
  <c r="L42" s="1"/>
  <c r="L43" s="1"/>
  <c r="L44" s="1"/>
  <c r="L45" s="1"/>
  <c r="L46" s="1"/>
  <c r="L47" s="1"/>
  <c r="L48" s="1"/>
  <c r="L49" s="1"/>
  <c r="M103" s="1"/>
  <c r="K38"/>
  <c r="K39" s="1"/>
  <c r="K40" s="1"/>
  <c r="K41" s="1"/>
  <c r="K42" s="1"/>
  <c r="K43" s="1"/>
  <c r="K44" s="1"/>
  <c r="K45" s="1"/>
  <c r="K46" s="1"/>
  <c r="K47" s="1"/>
  <c r="K48" s="1"/>
  <c r="K49" s="1"/>
  <c r="L103" s="1"/>
  <c r="H91"/>
  <c r="G91"/>
  <c r="C91"/>
  <c r="B91"/>
  <c r="G38"/>
  <c r="H92" s="1"/>
  <c r="F38"/>
  <c r="G92" s="1"/>
  <c r="B38"/>
  <c r="C92" s="1"/>
  <c r="A38"/>
  <c r="A39" s="1"/>
  <c r="N33" i="15"/>
  <c r="N34" s="1"/>
  <c r="N35" s="1"/>
  <c r="N36" s="1"/>
  <c r="N37" s="1"/>
  <c r="N38" s="1"/>
  <c r="N39" s="1"/>
  <c r="N40" s="1"/>
  <c r="N41" s="1"/>
  <c r="N42" s="1"/>
  <c r="N43" s="1"/>
  <c r="N44" s="1"/>
  <c r="K99" s="1"/>
  <c r="K33"/>
  <c r="J99"/>
  <c r="I99"/>
  <c r="H99"/>
  <c r="C99"/>
  <c r="K98"/>
  <c r="J98"/>
  <c r="I98"/>
  <c r="H98"/>
  <c r="F98"/>
  <c r="C98"/>
  <c r="K97"/>
  <c r="J97"/>
  <c r="I97"/>
  <c r="H97"/>
  <c r="F97"/>
  <c r="C97"/>
  <c r="J96"/>
  <c r="I96"/>
  <c r="H96"/>
  <c r="C96"/>
  <c r="J95"/>
  <c r="I95"/>
  <c r="H95"/>
  <c r="C95"/>
  <c r="K94"/>
  <c r="J94"/>
  <c r="I94"/>
  <c r="H94"/>
  <c r="F94"/>
  <c r="C94"/>
  <c r="K93"/>
  <c r="J93"/>
  <c r="I93"/>
  <c r="H93"/>
  <c r="F93"/>
  <c r="C93"/>
  <c r="K92"/>
  <c r="J92"/>
  <c r="I92"/>
  <c r="H92"/>
  <c r="C92"/>
  <c r="K91"/>
  <c r="J91"/>
  <c r="I91"/>
  <c r="H91"/>
  <c r="C91"/>
  <c r="K90"/>
  <c r="J90"/>
  <c r="I90"/>
  <c r="H90"/>
  <c r="F90"/>
  <c r="C90"/>
  <c r="K89"/>
  <c r="J89"/>
  <c r="I89"/>
  <c r="H89"/>
  <c r="F89"/>
  <c r="C89"/>
  <c r="K88"/>
  <c r="J88"/>
  <c r="I88"/>
  <c r="H88"/>
  <c r="F88"/>
  <c r="C88"/>
  <c r="K87"/>
  <c r="J87"/>
  <c r="I87"/>
  <c r="H87"/>
  <c r="E87"/>
  <c r="D87"/>
  <c r="C87"/>
  <c r="K43"/>
  <c r="K42"/>
  <c r="K39"/>
  <c r="K38"/>
  <c r="K37"/>
  <c r="F92"/>
  <c r="K36"/>
  <c r="K35"/>
  <c r="K34"/>
  <c r="J33"/>
  <c r="J34" s="1"/>
  <c r="J35" s="1"/>
  <c r="J36" s="1"/>
  <c r="J37" s="1"/>
  <c r="J38" s="1"/>
  <c r="J39" s="1"/>
  <c r="J40" s="1"/>
  <c r="J41" s="1"/>
  <c r="J42" s="1"/>
  <c r="J43" s="1"/>
  <c r="J44" s="1"/>
  <c r="I33"/>
  <c r="I34" s="1"/>
  <c r="I35" s="1"/>
  <c r="I36" s="1"/>
  <c r="I37" s="1"/>
  <c r="I38" s="1"/>
  <c r="I39" s="1"/>
  <c r="I40" s="1"/>
  <c r="I41" s="1"/>
  <c r="I42" s="1"/>
  <c r="I43" s="1"/>
  <c r="I44" s="1"/>
  <c r="K63" s="1"/>
  <c r="E33"/>
  <c r="E34" s="1"/>
  <c r="D33"/>
  <c r="D88" s="1"/>
  <c r="K65"/>
  <c r="F32"/>
  <c r="F65" s="1"/>
  <c r="K17"/>
  <c r="F44" s="1"/>
  <c r="F99" s="1"/>
  <c r="D17"/>
  <c r="K15"/>
  <c r="F40" s="1"/>
  <c r="F95" s="1"/>
  <c r="K13"/>
  <c r="E9"/>
  <c r="E10" s="1"/>
  <c r="E15" s="1"/>
  <c r="L97" i="16" l="1"/>
  <c r="L94"/>
  <c r="L92"/>
  <c r="L100"/>
  <c r="M98"/>
  <c r="M101"/>
  <c r="M40"/>
  <c r="N94" s="1"/>
  <c r="M44"/>
  <c r="N98" s="1"/>
  <c r="M48"/>
  <c r="N102" s="1"/>
  <c r="M93"/>
  <c r="L98"/>
  <c r="L101"/>
  <c r="M102"/>
  <c r="M39"/>
  <c r="N93" s="1"/>
  <c r="M43"/>
  <c r="N97" s="1"/>
  <c r="L93"/>
  <c r="L95"/>
  <c r="M46"/>
  <c r="N100" s="1"/>
  <c r="M92"/>
  <c r="M94"/>
  <c r="L96"/>
  <c r="M97"/>
  <c r="L99"/>
  <c r="M100"/>
  <c r="M41"/>
  <c r="N95" s="1"/>
  <c r="M45"/>
  <c r="N99" s="1"/>
  <c r="M49"/>
  <c r="N103" s="1"/>
  <c r="M95"/>
  <c r="M47"/>
  <c r="N101" s="1"/>
  <c r="M96"/>
  <c r="M99"/>
  <c r="L102"/>
  <c r="M38"/>
  <c r="C40"/>
  <c r="D94" s="1"/>
  <c r="C46"/>
  <c r="D100" s="1"/>
  <c r="C39"/>
  <c r="C44"/>
  <c r="D98" s="1"/>
  <c r="C42"/>
  <c r="D96" s="1"/>
  <c r="C47"/>
  <c r="D101" s="1"/>
  <c r="C43"/>
  <c r="D97" s="1"/>
  <c r="C49"/>
  <c r="D103" s="1"/>
  <c r="D92"/>
  <c r="G39"/>
  <c r="H93" s="1"/>
  <c r="H38"/>
  <c r="C41"/>
  <c r="D95" s="1"/>
  <c r="C45"/>
  <c r="D99" s="1"/>
  <c r="B39"/>
  <c r="C93" s="1"/>
  <c r="B93"/>
  <c r="A40"/>
  <c r="F39"/>
  <c r="B92"/>
  <c r="E13" i="15"/>
  <c r="E89"/>
  <c r="E35"/>
  <c r="K71"/>
  <c r="E17"/>
  <c r="D34"/>
  <c r="E88"/>
  <c r="N75" i="16" l="1"/>
  <c r="D71"/>
  <c r="D73" s="1"/>
  <c r="H41"/>
  <c r="I95" s="1"/>
  <c r="D93"/>
  <c r="D75"/>
  <c r="K67" i="15"/>
  <c r="K69" s="1"/>
  <c r="H44" i="16"/>
  <c r="I98" s="1"/>
  <c r="N92"/>
  <c r="N71" s="1"/>
  <c r="N73" s="1"/>
  <c r="C51"/>
  <c r="M51"/>
  <c r="H47"/>
  <c r="I101" s="1"/>
  <c r="G40"/>
  <c r="H43"/>
  <c r="I97" s="1"/>
  <c r="H49"/>
  <c r="I103" s="1"/>
  <c r="I92"/>
  <c r="H45"/>
  <c r="I99" s="1"/>
  <c r="H46"/>
  <c r="I100" s="1"/>
  <c r="B40"/>
  <c r="C94" s="1"/>
  <c r="H48"/>
  <c r="I102" s="1"/>
  <c r="H40"/>
  <c r="I94" s="1"/>
  <c r="H42"/>
  <c r="I96" s="1"/>
  <c r="H39"/>
  <c r="I93" s="1"/>
  <c r="G93"/>
  <c r="F40"/>
  <c r="A41"/>
  <c r="B94"/>
  <c r="D89" i="15"/>
  <c r="D35"/>
  <c r="F91"/>
  <c r="E90"/>
  <c r="E36"/>
  <c r="I71" i="16" l="1"/>
  <c r="I73" s="1"/>
  <c r="I75"/>
  <c r="H51"/>
  <c r="B41"/>
  <c r="C95" s="1"/>
  <c r="G41"/>
  <c r="H95" s="1"/>
  <c r="H94"/>
  <c r="G94"/>
  <c r="F41"/>
  <c r="B95"/>
  <c r="A42"/>
  <c r="E37" i="15"/>
  <c r="E91"/>
  <c r="D90"/>
  <c r="D36"/>
  <c r="G42" i="16" l="1"/>
  <c r="H96" s="1"/>
  <c r="B42"/>
  <c r="B43" s="1"/>
  <c r="G95"/>
  <c r="F42"/>
  <c r="A43"/>
  <c r="B96"/>
  <c r="D91" i="15"/>
  <c r="D37"/>
  <c r="E38"/>
  <c r="E92"/>
  <c r="C96" i="16" l="1"/>
  <c r="G43"/>
  <c r="G44" s="1"/>
  <c r="G96"/>
  <c r="F43"/>
  <c r="B97"/>
  <c r="A44"/>
  <c r="C97"/>
  <c r="B44"/>
  <c r="D38" i="15"/>
  <c r="D92"/>
  <c r="E39"/>
  <c r="E93"/>
  <c r="H97" i="16" l="1"/>
  <c r="B45"/>
  <c r="C98"/>
  <c r="A45"/>
  <c r="B98"/>
  <c r="G45"/>
  <c r="H98"/>
  <c r="G97"/>
  <c r="F44"/>
  <c r="E94" i="15"/>
  <c r="E40"/>
  <c r="D93"/>
  <c r="D39"/>
  <c r="G98" i="16" l="1"/>
  <c r="F45"/>
  <c r="H99"/>
  <c r="G46"/>
  <c r="C99"/>
  <c r="B46"/>
  <c r="B99"/>
  <c r="A46"/>
  <c r="D40" i="15"/>
  <c r="D94"/>
  <c r="E41"/>
  <c r="E95"/>
  <c r="A47" i="16" l="1"/>
  <c r="B100"/>
  <c r="G47"/>
  <c r="H100"/>
  <c r="B47"/>
  <c r="C100"/>
  <c r="G99"/>
  <c r="F46"/>
  <c r="E96" i="15"/>
  <c r="E42"/>
  <c r="D41"/>
  <c r="D95"/>
  <c r="G100" i="16" l="1"/>
  <c r="F47"/>
  <c r="C101"/>
  <c r="B48"/>
  <c r="B101"/>
  <c r="A48"/>
  <c r="H101"/>
  <c r="G48"/>
  <c r="E43" i="15"/>
  <c r="E97"/>
  <c r="D96"/>
  <c r="D42"/>
  <c r="G49" i="16" l="1"/>
  <c r="H103" s="1"/>
  <c r="H102"/>
  <c r="B49"/>
  <c r="C103" s="1"/>
  <c r="C102"/>
  <c r="A49"/>
  <c r="B103" s="1"/>
  <c r="B102"/>
  <c r="G101"/>
  <c r="F48"/>
  <c r="D43" i="15"/>
  <c r="D97"/>
  <c r="E44"/>
  <c r="E98"/>
  <c r="G102" i="16" l="1"/>
  <c r="F49"/>
  <c r="G103" s="1"/>
  <c r="E45" i="15"/>
  <c r="E99"/>
  <c r="D44"/>
  <c r="D98"/>
  <c r="D99" l="1"/>
  <c r="D45"/>
  <c r="F63"/>
  <c r="M13" i="4" l="1"/>
  <c r="G15" i="14"/>
  <c r="P77" i="11"/>
  <c r="P32" i="13"/>
  <c r="P41" i="11"/>
  <c r="F32" i="13"/>
  <c r="F77" s="1"/>
  <c r="K32"/>
  <c r="K77" s="1"/>
  <c r="D13" i="4"/>
  <c r="K39" i="13"/>
  <c r="K106" s="1"/>
  <c r="K41"/>
  <c r="F41"/>
  <c r="F37"/>
  <c r="K37" s="1"/>
  <c r="D17"/>
  <c r="F38" s="1"/>
  <c r="F105" s="1"/>
  <c r="C119"/>
  <c r="F118"/>
  <c r="C118"/>
  <c r="F117"/>
  <c r="C117"/>
  <c r="F116"/>
  <c r="C116"/>
  <c r="H115"/>
  <c r="F115"/>
  <c r="C115"/>
  <c r="K114"/>
  <c r="H114"/>
  <c r="F114"/>
  <c r="C114"/>
  <c r="K113"/>
  <c r="H113"/>
  <c r="F113"/>
  <c r="C113"/>
  <c r="H112"/>
  <c r="F112"/>
  <c r="C112"/>
  <c r="M111"/>
  <c r="H111"/>
  <c r="F111"/>
  <c r="C111"/>
  <c r="P110"/>
  <c r="M110"/>
  <c r="K110"/>
  <c r="H110"/>
  <c r="F110"/>
  <c r="C110"/>
  <c r="P109"/>
  <c r="M109"/>
  <c r="K109"/>
  <c r="H109"/>
  <c r="F109"/>
  <c r="C109"/>
  <c r="M108"/>
  <c r="H108"/>
  <c r="C108"/>
  <c r="M107"/>
  <c r="H107"/>
  <c r="C107"/>
  <c r="P106"/>
  <c r="M106"/>
  <c r="H106"/>
  <c r="F106"/>
  <c r="C106"/>
  <c r="P105"/>
  <c r="M105"/>
  <c r="H105"/>
  <c r="C105"/>
  <c r="M104"/>
  <c r="H104"/>
  <c r="C104"/>
  <c r="M103"/>
  <c r="H103"/>
  <c r="C103"/>
  <c r="P102"/>
  <c r="M102"/>
  <c r="K102"/>
  <c r="H102"/>
  <c r="F102"/>
  <c r="C102"/>
  <c r="P101"/>
  <c r="M101"/>
  <c r="K101"/>
  <c r="H101"/>
  <c r="F101"/>
  <c r="C101"/>
  <c r="P100"/>
  <c r="M100"/>
  <c r="K100"/>
  <c r="H100"/>
  <c r="F100"/>
  <c r="C100"/>
  <c r="O99"/>
  <c r="N99"/>
  <c r="M99"/>
  <c r="J99"/>
  <c r="I99"/>
  <c r="H99"/>
  <c r="E99"/>
  <c r="D99"/>
  <c r="C99"/>
  <c r="K44"/>
  <c r="K111" s="1"/>
  <c r="K38"/>
  <c r="K105" s="1"/>
  <c r="O33"/>
  <c r="O100" s="1"/>
  <c r="N33"/>
  <c r="N34" s="1"/>
  <c r="N101" s="1"/>
  <c r="J33"/>
  <c r="J34" s="1"/>
  <c r="I33"/>
  <c r="I100" s="1"/>
  <c r="E33"/>
  <c r="E100" s="1"/>
  <c r="D33"/>
  <c r="D34" s="1"/>
  <c r="D101" s="1"/>
  <c r="K17"/>
  <c r="K48" s="1"/>
  <c r="K115" s="1"/>
  <c r="K15"/>
  <c r="F40" s="1"/>
  <c r="P40" s="1"/>
  <c r="K13"/>
  <c r="F36" s="1"/>
  <c r="E9"/>
  <c r="E10" s="1"/>
  <c r="E15" s="1"/>
  <c r="C120" i="11"/>
  <c r="F119"/>
  <c r="C119"/>
  <c r="K17"/>
  <c r="F52" s="1"/>
  <c r="F120" s="1"/>
  <c r="K15"/>
  <c r="F40" s="1"/>
  <c r="P40" s="1"/>
  <c r="K13"/>
  <c r="D15"/>
  <c r="D17"/>
  <c r="K41"/>
  <c r="K109" s="1"/>
  <c r="F41"/>
  <c r="O33"/>
  <c r="O34" s="1"/>
  <c r="O35" s="1"/>
  <c r="O36" s="1"/>
  <c r="O37" s="1"/>
  <c r="O38" s="1"/>
  <c r="O39" s="1"/>
  <c r="O40" s="1"/>
  <c r="O41" s="1"/>
  <c r="N33"/>
  <c r="N34" s="1"/>
  <c r="N35" s="1"/>
  <c r="N36" s="1"/>
  <c r="N37" s="1"/>
  <c r="N38" s="1"/>
  <c r="N39" s="1"/>
  <c r="N40" s="1"/>
  <c r="N41" s="1"/>
  <c r="K38"/>
  <c r="J33"/>
  <c r="J34" s="1"/>
  <c r="J35" s="1"/>
  <c r="J36" s="1"/>
  <c r="J37" s="1"/>
  <c r="J38" s="1"/>
  <c r="J39" s="1"/>
  <c r="J40" s="1"/>
  <c r="J41" s="1"/>
  <c r="I33"/>
  <c r="I34" s="1"/>
  <c r="I35" s="1"/>
  <c r="I36" s="1"/>
  <c r="I37" s="1"/>
  <c r="I38" s="1"/>
  <c r="I39" s="1"/>
  <c r="I40" s="1"/>
  <c r="I41" s="1"/>
  <c r="E9"/>
  <c r="E10" s="1"/>
  <c r="E13" s="1"/>
  <c r="P41" i="13" l="1"/>
  <c r="F41" i="15"/>
  <c r="K45" i="13"/>
  <c r="K112" s="1"/>
  <c r="P77"/>
  <c r="I15" i="14"/>
  <c r="N100" i="13"/>
  <c r="F104"/>
  <c r="E34"/>
  <c r="E35" s="1"/>
  <c r="E102" s="1"/>
  <c r="D100"/>
  <c r="O34"/>
  <c r="O35" s="1"/>
  <c r="O36" s="1"/>
  <c r="O37" s="1"/>
  <c r="F36" i="11"/>
  <c r="P36" s="1"/>
  <c r="K48"/>
  <c r="K116" s="1"/>
  <c r="F52" i="13"/>
  <c r="F83" s="1"/>
  <c r="P44" i="11"/>
  <c r="K104" i="13"/>
  <c r="K108"/>
  <c r="F108"/>
  <c r="P37"/>
  <c r="E13"/>
  <c r="E17"/>
  <c r="J101"/>
  <c r="J35"/>
  <c r="E36"/>
  <c r="F107"/>
  <c r="K40"/>
  <c r="P36"/>
  <c r="F103"/>
  <c r="K36"/>
  <c r="O102"/>
  <c r="J100"/>
  <c r="I34"/>
  <c r="D35"/>
  <c r="N35"/>
  <c r="P44"/>
  <c r="E15" i="11"/>
  <c r="E17"/>
  <c r="K40"/>
  <c r="P83" l="1"/>
  <c r="G18" i="14" s="1"/>
  <c r="F96" i="15"/>
  <c r="F67" s="1"/>
  <c r="F69" s="1"/>
  <c r="F71"/>
  <c r="K83" i="13"/>
  <c r="P83"/>
  <c r="E101"/>
  <c r="F119"/>
  <c r="F79" s="1"/>
  <c r="F81" s="1"/>
  <c r="O101"/>
  <c r="P107"/>
  <c r="P111"/>
  <c r="P103"/>
  <c r="K36" i="11"/>
  <c r="K107" i="13"/>
  <c r="P108"/>
  <c r="P104"/>
  <c r="E37"/>
  <c r="E103"/>
  <c r="D36"/>
  <c r="D102"/>
  <c r="N36"/>
  <c r="N37" s="1"/>
  <c r="N102"/>
  <c r="K103"/>
  <c r="J36"/>
  <c r="J37" s="1"/>
  <c r="J102"/>
  <c r="O103"/>
  <c r="I101"/>
  <c r="I35"/>
  <c r="I18" i="14" l="1"/>
  <c r="K79" i="13"/>
  <c r="K81" s="1"/>
  <c r="P79"/>
  <c r="I36"/>
  <c r="I37" s="1"/>
  <c r="I102"/>
  <c r="J103"/>
  <c r="N103"/>
  <c r="E104"/>
  <c r="E38"/>
  <c r="O104"/>
  <c r="O38"/>
  <c r="D103"/>
  <c r="D37"/>
  <c r="P81" l="1"/>
  <c r="I16" i="14"/>
  <c r="I20" s="1"/>
  <c r="O39" i="13"/>
  <c r="O105"/>
  <c r="N38"/>
  <c r="N104"/>
  <c r="D38"/>
  <c r="D104"/>
  <c r="E39"/>
  <c r="E105"/>
  <c r="J38"/>
  <c r="J104"/>
  <c r="I103"/>
  <c r="I17" i="14" l="1"/>
  <c r="I104" i="13"/>
  <c r="I38"/>
  <c r="E106"/>
  <c r="E40"/>
  <c r="N39"/>
  <c r="N105"/>
  <c r="J105"/>
  <c r="J39"/>
  <c r="D39"/>
  <c r="D105"/>
  <c r="O40"/>
  <c r="O106"/>
  <c r="I105" l="1"/>
  <c r="I39"/>
  <c r="O41"/>
  <c r="O107"/>
  <c r="J106"/>
  <c r="J40"/>
  <c r="E41"/>
  <c r="E107"/>
  <c r="D40"/>
  <c r="D106"/>
  <c r="N40"/>
  <c r="N106"/>
  <c r="J107" l="1"/>
  <c r="J41"/>
  <c r="I106"/>
  <c r="I40"/>
  <c r="N107"/>
  <c r="N41"/>
  <c r="E42"/>
  <c r="E108"/>
  <c r="O108"/>
  <c r="O42"/>
  <c r="D107"/>
  <c r="D41"/>
  <c r="O43" l="1"/>
  <c r="O109"/>
  <c r="N42"/>
  <c r="N108"/>
  <c r="J42"/>
  <c r="J108"/>
  <c r="E43"/>
  <c r="E109"/>
  <c r="D42"/>
  <c r="D108"/>
  <c r="I107"/>
  <c r="I41"/>
  <c r="D109" l="1"/>
  <c r="D43"/>
  <c r="J43"/>
  <c r="J109"/>
  <c r="O110"/>
  <c r="O44"/>
  <c r="E110"/>
  <c r="E44"/>
  <c r="N109"/>
  <c r="N43"/>
  <c r="I108"/>
  <c r="I42"/>
  <c r="N44" l="1"/>
  <c r="P75" s="1"/>
  <c r="N110"/>
  <c r="O111"/>
  <c r="O45"/>
  <c r="D44"/>
  <c r="D110"/>
  <c r="J44"/>
  <c r="J110"/>
  <c r="I43"/>
  <c r="I109"/>
  <c r="E45"/>
  <c r="E111"/>
  <c r="E46" l="1"/>
  <c r="E112"/>
  <c r="J111"/>
  <c r="J45"/>
  <c r="I110"/>
  <c r="I44"/>
  <c r="D45"/>
  <c r="D111"/>
  <c r="N111"/>
  <c r="N45"/>
  <c r="C118" i="11"/>
  <c r="F117"/>
  <c r="C117"/>
  <c r="H116"/>
  <c r="F116"/>
  <c r="C116"/>
  <c r="K115"/>
  <c r="H115"/>
  <c r="F115"/>
  <c r="C115"/>
  <c r="K114"/>
  <c r="H114"/>
  <c r="F114"/>
  <c r="C114"/>
  <c r="H113"/>
  <c r="C113"/>
  <c r="M112"/>
  <c r="H112"/>
  <c r="C112"/>
  <c r="P111"/>
  <c r="M111"/>
  <c r="K111"/>
  <c r="H111"/>
  <c r="F111"/>
  <c r="C111"/>
  <c r="P110"/>
  <c r="M110"/>
  <c r="K110"/>
  <c r="H110"/>
  <c r="F110"/>
  <c r="C110"/>
  <c r="P109"/>
  <c r="M109"/>
  <c r="H109"/>
  <c r="F109"/>
  <c r="C109"/>
  <c r="P108"/>
  <c r="M108"/>
  <c r="K108"/>
  <c r="H108"/>
  <c r="F108"/>
  <c r="C108"/>
  <c r="P107"/>
  <c r="M107"/>
  <c r="K107"/>
  <c r="H107"/>
  <c r="F107"/>
  <c r="C107"/>
  <c r="M106"/>
  <c r="H106"/>
  <c r="C106"/>
  <c r="P105"/>
  <c r="M105"/>
  <c r="K105"/>
  <c r="H105"/>
  <c r="F105"/>
  <c r="C105"/>
  <c r="P104"/>
  <c r="M104"/>
  <c r="K104"/>
  <c r="H104"/>
  <c r="F104"/>
  <c r="C104"/>
  <c r="P103"/>
  <c r="M103"/>
  <c r="K103"/>
  <c r="H103"/>
  <c r="F103"/>
  <c r="C103"/>
  <c r="P102"/>
  <c r="M102"/>
  <c r="K102"/>
  <c r="H102"/>
  <c r="F102"/>
  <c r="C102"/>
  <c r="P101"/>
  <c r="M101"/>
  <c r="K101"/>
  <c r="H101"/>
  <c r="F101"/>
  <c r="C101"/>
  <c r="O100"/>
  <c r="N100"/>
  <c r="M100"/>
  <c r="J100"/>
  <c r="I100"/>
  <c r="H100"/>
  <c r="E100"/>
  <c r="D100"/>
  <c r="C100"/>
  <c r="K45"/>
  <c r="K113" s="1"/>
  <c r="F113"/>
  <c r="F38"/>
  <c r="J102"/>
  <c r="I102"/>
  <c r="O101"/>
  <c r="N101"/>
  <c r="J101"/>
  <c r="I101"/>
  <c r="E33"/>
  <c r="E101" s="1"/>
  <c r="D33"/>
  <c r="D101" s="1"/>
  <c r="P106"/>
  <c r="K106"/>
  <c r="D11" i="6"/>
  <c r="D10"/>
  <c r="D9"/>
  <c r="S17" i="4"/>
  <c r="T17" s="1"/>
  <c r="S13"/>
  <c r="T13" s="1"/>
  <c r="S9"/>
  <c r="T9" s="1"/>
  <c r="L104" i="6"/>
  <c r="O103"/>
  <c r="L103"/>
  <c r="O102"/>
  <c r="L102"/>
  <c r="O101"/>
  <c r="L101"/>
  <c r="O100"/>
  <c r="L100"/>
  <c r="L99"/>
  <c r="L98"/>
  <c r="O97"/>
  <c r="L97"/>
  <c r="O96"/>
  <c r="L96"/>
  <c r="O95"/>
  <c r="L95"/>
  <c r="O94"/>
  <c r="L94"/>
  <c r="O93"/>
  <c r="L93"/>
  <c r="L92"/>
  <c r="O91"/>
  <c r="L91"/>
  <c r="O90"/>
  <c r="L90"/>
  <c r="O89"/>
  <c r="L89"/>
  <c r="O88"/>
  <c r="L88"/>
  <c r="O87"/>
  <c r="L87"/>
  <c r="N86"/>
  <c r="M86"/>
  <c r="L86"/>
  <c r="G104"/>
  <c r="J103"/>
  <c r="G103"/>
  <c r="J102"/>
  <c r="G102"/>
  <c r="J101"/>
  <c r="G101"/>
  <c r="J100"/>
  <c r="G100"/>
  <c r="G99"/>
  <c r="G98"/>
  <c r="J97"/>
  <c r="G97"/>
  <c r="J96"/>
  <c r="G96"/>
  <c r="J95"/>
  <c r="G95"/>
  <c r="J94"/>
  <c r="G94"/>
  <c r="J93"/>
  <c r="G93"/>
  <c r="G92"/>
  <c r="J91"/>
  <c r="G91"/>
  <c r="J90"/>
  <c r="G90"/>
  <c r="J89"/>
  <c r="G89"/>
  <c r="J88"/>
  <c r="G88"/>
  <c r="J87"/>
  <c r="G87"/>
  <c r="I86"/>
  <c r="H86"/>
  <c r="G86"/>
  <c r="B104"/>
  <c r="E103"/>
  <c r="B103"/>
  <c r="E102"/>
  <c r="B102"/>
  <c r="E101"/>
  <c r="B101"/>
  <c r="E100"/>
  <c r="B100"/>
  <c r="B99"/>
  <c r="B98"/>
  <c r="E97"/>
  <c r="B97"/>
  <c r="E96"/>
  <c r="B96"/>
  <c r="E95"/>
  <c r="B95"/>
  <c r="E94"/>
  <c r="B94"/>
  <c r="E93"/>
  <c r="B93"/>
  <c r="B92"/>
  <c r="E91"/>
  <c r="B91"/>
  <c r="E90"/>
  <c r="B90"/>
  <c r="E89"/>
  <c r="B89"/>
  <c r="E88"/>
  <c r="B88"/>
  <c r="E87"/>
  <c r="B87"/>
  <c r="B86"/>
  <c r="C86"/>
  <c r="D86"/>
  <c r="O36"/>
  <c r="O99" s="1"/>
  <c r="N24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M24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J36"/>
  <c r="J99" s="1"/>
  <c r="I24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H24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E36"/>
  <c r="E99" s="1"/>
  <c r="D24"/>
  <c r="D87" s="1"/>
  <c r="C24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K17" i="4"/>
  <c r="K13"/>
  <c r="D17"/>
  <c r="F17" s="1"/>
  <c r="F13"/>
  <c r="C10" i="6" s="1"/>
  <c r="D9" i="4"/>
  <c r="F9" s="1"/>
  <c r="M9" s="1"/>
  <c r="C9" i="6" s="1"/>
  <c r="K79" i="11" l="1"/>
  <c r="M42" i="6"/>
  <c r="I45" i="13"/>
  <c r="I111"/>
  <c r="D46"/>
  <c r="D112"/>
  <c r="J46"/>
  <c r="J112"/>
  <c r="E47"/>
  <c r="E113"/>
  <c r="J23" i="6"/>
  <c r="K32" i="11"/>
  <c r="E23" i="6"/>
  <c r="F32" i="11"/>
  <c r="F106"/>
  <c r="F112"/>
  <c r="F79" s="1"/>
  <c r="F118"/>
  <c r="E34"/>
  <c r="D34"/>
  <c r="E29" i="6"/>
  <c r="P13" i="4"/>
  <c r="M17"/>
  <c r="C11" i="6" s="1"/>
  <c r="C87"/>
  <c r="M100"/>
  <c r="I101"/>
  <c r="M102"/>
  <c r="M103"/>
  <c r="M99"/>
  <c r="I99"/>
  <c r="I103"/>
  <c r="I100"/>
  <c r="I104"/>
  <c r="M101"/>
  <c r="I102"/>
  <c r="M104"/>
  <c r="C89"/>
  <c r="C91"/>
  <c r="H93"/>
  <c r="H95"/>
  <c r="H97"/>
  <c r="C95"/>
  <c r="C97"/>
  <c r="H99"/>
  <c r="H101"/>
  <c r="H103"/>
  <c r="N87"/>
  <c r="N89"/>
  <c r="D25"/>
  <c r="E61"/>
  <c r="C99"/>
  <c r="C100"/>
  <c r="C101"/>
  <c r="C102"/>
  <c r="C103"/>
  <c r="C104"/>
  <c r="I87"/>
  <c r="I88"/>
  <c r="I89"/>
  <c r="I90"/>
  <c r="I91"/>
  <c r="I92"/>
  <c r="M87"/>
  <c r="M88"/>
  <c r="M89"/>
  <c r="M90"/>
  <c r="M91"/>
  <c r="M92"/>
  <c r="N93"/>
  <c r="N94"/>
  <c r="N95"/>
  <c r="N96"/>
  <c r="N97"/>
  <c r="N98"/>
  <c r="C88"/>
  <c r="C90"/>
  <c r="C92"/>
  <c r="J61"/>
  <c r="H94"/>
  <c r="H96"/>
  <c r="H98"/>
  <c r="C93"/>
  <c r="C94"/>
  <c r="C96"/>
  <c r="C98"/>
  <c r="H100"/>
  <c r="H102"/>
  <c r="H104"/>
  <c r="N88"/>
  <c r="N90"/>
  <c r="N91"/>
  <c r="N92"/>
  <c r="H87"/>
  <c r="H88"/>
  <c r="H89"/>
  <c r="H90"/>
  <c r="H91"/>
  <c r="H92"/>
  <c r="I93"/>
  <c r="I94"/>
  <c r="I95"/>
  <c r="I96"/>
  <c r="I97"/>
  <c r="I98"/>
  <c r="O61"/>
  <c r="E14" i="14" s="1"/>
  <c r="M93" i="6"/>
  <c r="M94"/>
  <c r="M95"/>
  <c r="M96"/>
  <c r="M97"/>
  <c r="M98"/>
  <c r="N99"/>
  <c r="N100"/>
  <c r="N101"/>
  <c r="N102"/>
  <c r="N103"/>
  <c r="N104"/>
  <c r="W13" i="4"/>
  <c r="I17"/>
  <c r="I13"/>
  <c r="F77" i="11" l="1"/>
  <c r="F83"/>
  <c r="K77"/>
  <c r="K81" s="1"/>
  <c r="K83"/>
  <c r="F81"/>
  <c r="P17" i="4"/>
  <c r="O23" i="6"/>
  <c r="J63"/>
  <c r="E63"/>
  <c r="E48" i="13"/>
  <c r="E114"/>
  <c r="D113"/>
  <c r="D47"/>
  <c r="J47"/>
  <c r="J113"/>
  <c r="I112"/>
  <c r="I46"/>
  <c r="I103" i="11"/>
  <c r="O102"/>
  <c r="J103"/>
  <c r="K44"/>
  <c r="N102"/>
  <c r="E102"/>
  <c r="E35"/>
  <c r="D102"/>
  <c r="D35"/>
  <c r="D26" i="6"/>
  <c r="D88"/>
  <c r="E9"/>
  <c r="E10"/>
  <c r="J29"/>
  <c r="W17" i="4"/>
  <c r="O63" i="6" l="1"/>
  <c r="E15" i="14" s="1"/>
  <c r="I47" i="13"/>
  <c r="I113"/>
  <c r="J114"/>
  <c r="J48"/>
  <c r="E49"/>
  <c r="E115"/>
  <c r="D114"/>
  <c r="D48"/>
  <c r="N103" i="11"/>
  <c r="J104"/>
  <c r="K112"/>
  <c r="O103"/>
  <c r="P112"/>
  <c r="P79" s="1"/>
  <c r="E103"/>
  <c r="E36"/>
  <c r="D103"/>
  <c r="D36"/>
  <c r="I104"/>
  <c r="D27" i="6"/>
  <c r="D89"/>
  <c r="E92"/>
  <c r="J92"/>
  <c r="G9"/>
  <c r="E41" s="1"/>
  <c r="E104" s="1"/>
  <c r="E35"/>
  <c r="E69" s="1"/>
  <c r="G10"/>
  <c r="J41" s="1"/>
  <c r="J104" s="1"/>
  <c r="J35"/>
  <c r="G16" i="14" l="1"/>
  <c r="P81" i="11"/>
  <c r="J98" i="6"/>
  <c r="J65" s="1"/>
  <c r="J67" s="1"/>
  <c r="J69"/>
  <c r="E116" i="13"/>
  <c r="E50"/>
  <c r="I114"/>
  <c r="I48"/>
  <c r="K75" s="1"/>
  <c r="D49"/>
  <c r="D115"/>
  <c r="J115"/>
  <c r="J49"/>
  <c r="E104" i="11"/>
  <c r="E37"/>
  <c r="J105"/>
  <c r="D104"/>
  <c r="D37"/>
  <c r="O104"/>
  <c r="N104"/>
  <c r="I105"/>
  <c r="D28" i="6"/>
  <c r="D90"/>
  <c r="E98"/>
  <c r="E11"/>
  <c r="O29"/>
  <c r="G17" i="14" l="1"/>
  <c r="E65" i="6"/>
  <c r="E67" s="1"/>
  <c r="G20" i="14"/>
  <c r="D50" i="13"/>
  <c r="D116"/>
  <c r="E117"/>
  <c r="E51"/>
  <c r="I115"/>
  <c r="I49"/>
  <c r="D105" i="11"/>
  <c r="D38"/>
  <c r="E105"/>
  <c r="E38"/>
  <c r="N105"/>
  <c r="O105"/>
  <c r="J106"/>
  <c r="I106"/>
  <c r="D29" i="6"/>
  <c r="D91"/>
  <c r="O92"/>
  <c r="G11"/>
  <c r="O41" s="1"/>
  <c r="O104" s="1"/>
  <c r="O35"/>
  <c r="O98" s="1"/>
  <c r="O69" l="1"/>
  <c r="E18" i="14" s="1"/>
  <c r="O65" i="6"/>
  <c r="E16" i="14" s="1"/>
  <c r="E20" s="1"/>
  <c r="D117" i="13"/>
  <c r="D51"/>
  <c r="E52"/>
  <c r="E118"/>
  <c r="N106" i="11"/>
  <c r="D106"/>
  <c r="D39"/>
  <c r="D40" s="1"/>
  <c r="D41" s="1"/>
  <c r="I107"/>
  <c r="O106"/>
  <c r="E106"/>
  <c r="E39"/>
  <c r="E40" s="1"/>
  <c r="E41" s="1"/>
  <c r="J107"/>
  <c r="D30" i="6"/>
  <c r="D92"/>
  <c r="O67" l="1"/>
  <c r="E17" i="14" s="1"/>
  <c r="D52" i="13"/>
  <c r="F75" s="1"/>
  <c r="D118"/>
  <c r="E53"/>
  <c r="E119"/>
  <c r="J108" i="11"/>
  <c r="N107"/>
  <c r="E107"/>
  <c r="I108"/>
  <c r="O107"/>
  <c r="D107"/>
  <c r="D31" i="6"/>
  <c r="D93"/>
  <c r="D53" i="13" l="1"/>
  <c r="D119"/>
  <c r="D108" i="11"/>
  <c r="I109"/>
  <c r="I42"/>
  <c r="N108"/>
  <c r="O108"/>
  <c r="E108"/>
  <c r="J109"/>
  <c r="J42"/>
  <c r="D32" i="6"/>
  <c r="D94"/>
  <c r="N109" i="11" l="1"/>
  <c r="N42"/>
  <c r="D109"/>
  <c r="D42"/>
  <c r="J43"/>
  <c r="J110"/>
  <c r="O42"/>
  <c r="O109"/>
  <c r="I110"/>
  <c r="I43"/>
  <c r="E42"/>
  <c r="E109"/>
  <c r="D33" i="6"/>
  <c r="D95"/>
  <c r="I111" i="11" l="1"/>
  <c r="I44"/>
  <c r="N110"/>
  <c r="N43"/>
  <c r="E110"/>
  <c r="E43"/>
  <c r="O110"/>
  <c r="O43"/>
  <c r="D110"/>
  <c r="D43"/>
  <c r="J111"/>
  <c r="J44"/>
  <c r="D34" i="6"/>
  <c r="D96"/>
  <c r="D111" i="11" l="1"/>
  <c r="D44"/>
  <c r="E44"/>
  <c r="E111"/>
  <c r="I112"/>
  <c r="I45"/>
  <c r="J45"/>
  <c r="J112"/>
  <c r="O111"/>
  <c r="O44"/>
  <c r="N111"/>
  <c r="N44"/>
  <c r="P75" s="1"/>
  <c r="D35" i="6"/>
  <c r="D97"/>
  <c r="G14" i="14" l="1"/>
  <c r="O45" i="11"/>
  <c r="O112"/>
  <c r="I113"/>
  <c r="I46"/>
  <c r="D112"/>
  <c r="D45"/>
  <c r="J46"/>
  <c r="J113"/>
  <c r="E112"/>
  <c r="E45"/>
  <c r="N112"/>
  <c r="N45"/>
  <c r="D36" i="6"/>
  <c r="D98"/>
  <c r="E113" i="11" l="1"/>
  <c r="E46"/>
  <c r="D113"/>
  <c r="D46"/>
  <c r="J114"/>
  <c r="J47"/>
  <c r="J48" s="1"/>
  <c r="I114"/>
  <c r="I47"/>
  <c r="I48" s="1"/>
  <c r="K75" s="1"/>
  <c r="D37" i="6"/>
  <c r="D99"/>
  <c r="D114" i="11" l="1"/>
  <c r="D47"/>
  <c r="I115"/>
  <c r="J115"/>
  <c r="E47"/>
  <c r="E114"/>
  <c r="D38" i="6"/>
  <c r="D100"/>
  <c r="J116" i="11" l="1"/>
  <c r="J49"/>
  <c r="E115"/>
  <c r="E48"/>
  <c r="I116"/>
  <c r="I49"/>
  <c r="D115"/>
  <c r="D48"/>
  <c r="D39" i="6"/>
  <c r="D101"/>
  <c r="D116" i="11" l="1"/>
  <c r="D49"/>
  <c r="E49"/>
  <c r="E116"/>
  <c r="D40" i="6"/>
  <c r="D102"/>
  <c r="E117" i="11" l="1"/>
  <c r="E50"/>
  <c r="D117"/>
  <c r="D50"/>
  <c r="D41" i="6"/>
  <c r="D103"/>
  <c r="E51" i="11" l="1"/>
  <c r="E118"/>
  <c r="D118"/>
  <c r="D51"/>
  <c r="D42" i="6"/>
  <c r="D104"/>
  <c r="D52" i="11" l="1"/>
  <c r="F75" s="1"/>
  <c r="D119"/>
  <c r="E52"/>
  <c r="E119"/>
  <c r="D53"/>
  <c r="D120" l="1"/>
  <c r="E53"/>
  <c r="E120"/>
</calcChain>
</file>

<file path=xl/comments1.xml><?xml version="1.0" encoding="utf-8"?>
<comments xmlns="http://schemas.openxmlformats.org/spreadsheetml/2006/main">
  <authors>
    <author>Leonardo</author>
  </authors>
  <commentList>
    <comment ref="B69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L69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</commentList>
</comments>
</file>

<file path=xl/comments2.xml><?xml version="1.0" encoding="utf-8"?>
<comments xmlns="http://schemas.openxmlformats.org/spreadsheetml/2006/main">
  <authors>
    <author>Leonardo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idade media dos desbastes 6 anos
150 st nos 2 desbastes
50 no primeiro
100 no segundo
</t>
        </r>
      </text>
    </comment>
    <comment ref="F19" authorId="0">
      <text>
        <r>
          <rPr>
            <sz val="9"/>
            <color indexed="81"/>
            <rFont val="Tahoma"/>
            <family val="2"/>
          </rPr>
          <t>50
+
100
+
450 ( 300 x 1,5)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</commentList>
</comments>
</file>

<file path=xl/comments3.xml><?xml version="1.0" encoding="utf-8"?>
<comments xmlns="http://schemas.openxmlformats.org/spreadsheetml/2006/main">
  <authors>
    <author>Leonardo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idade media dos desbastes 6 anos
150 st nos 2 desbastes
50 no primeiro
100 no segundo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idade do desbastes 8 anos
60st/ano x 8 anos - (33% pela baixa populacao)  x 50 das arvores
</t>
        </r>
      </text>
    </comment>
    <comment ref="F19" authorId="0">
      <text>
        <r>
          <rPr>
            <sz val="9"/>
            <color indexed="81"/>
            <rFont val="Tahoma"/>
            <family val="2"/>
          </rPr>
          <t>50
+
100
+
450 ( 300 x 1,5)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
R$5/muda 666 mudas</t>
        </r>
      </text>
    </comment>
    <comment ref="K32" authorId="0">
      <text>
        <r>
          <rPr>
            <sz val="9"/>
            <color indexed="81"/>
            <rFont val="Tahoma"/>
            <family val="2"/>
          </rPr>
          <t xml:space="preserve">
R$6/muda 666 mudas</t>
        </r>
      </text>
    </comment>
    <comment ref="P32" authorId="0">
      <text>
        <r>
          <rPr>
            <sz val="9"/>
            <color indexed="81"/>
            <rFont val="Tahoma"/>
            <family val="2"/>
          </rPr>
          <t>R$7/muda 666 mudas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</commentList>
</comments>
</file>

<file path=xl/comments4.xml><?xml version="1.0" encoding="utf-8"?>
<comments xmlns="http://schemas.openxmlformats.org/spreadsheetml/2006/main">
  <authors>
    <author>Leonardo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idade media dos desbastes 6 anos
150 st nos 2 desbastes
50 no primeiro
100 no segundo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idade do desbastes 8 anos
60st/ano x 8 anos - (33% pela baixa populacao)  x 50 das arvores
</t>
        </r>
      </text>
    </comment>
    <comment ref="F32" authorId="0">
      <text>
        <r>
          <rPr>
            <sz val="9"/>
            <color indexed="81"/>
            <rFont val="Tahoma"/>
            <family val="2"/>
          </rPr>
          <t>R$7/muda 666 mudas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</commentList>
</comments>
</file>

<file path=xl/comments5.xml><?xml version="1.0" encoding="utf-8"?>
<comments xmlns="http://schemas.openxmlformats.org/spreadsheetml/2006/main">
  <authors>
    <author>Leonardo</author>
  </authors>
  <commentList>
    <comment ref="C34" authorId="0">
      <text>
        <r>
          <rPr>
            <sz val="9"/>
            <color indexed="81"/>
            <rFont val="Tahoma"/>
            <family val="2"/>
          </rPr>
          <t xml:space="preserve">      5.000 venda diaria
   150.000   venda mensal</t>
        </r>
        <r>
          <rPr>
            <b/>
            <sz val="9"/>
            <color indexed="81"/>
            <rFont val="Tahoma"/>
            <charset val="1"/>
          </rPr>
          <t xml:space="preserve">
1.800.000 venda anual
50% de custo de mercadoris vendida
   </t>
        </r>
        <r>
          <rPr>
            <sz val="9"/>
            <color indexed="81"/>
            <rFont val="Tahoma"/>
            <family val="2"/>
          </rPr>
          <t>900.000, por ano</t>
        </r>
        <r>
          <rPr>
            <b/>
            <sz val="9"/>
            <color indexed="81"/>
            <rFont val="Tahoma"/>
            <charset val="1"/>
          </rPr>
          <t xml:space="preserve">
50% de margem bruta
  </t>
        </r>
        <r>
          <rPr>
            <sz val="9"/>
            <color indexed="81"/>
            <rFont val="Tahoma"/>
            <family val="2"/>
          </rPr>
          <t xml:space="preserve"> 720.000  por ano</t>
        </r>
        <r>
          <rPr>
            <b/>
            <sz val="9"/>
            <color indexed="81"/>
            <rFont val="Tahoma"/>
            <charset val="1"/>
          </rPr>
          <t xml:space="preserve">
35% de custos e desp operacionais
   </t>
        </r>
        <r>
          <rPr>
            <sz val="9"/>
            <color indexed="81"/>
            <rFont val="Tahoma"/>
            <family val="2"/>
          </rPr>
          <t>630.000 por ano</t>
        </r>
        <r>
          <rPr>
            <b/>
            <sz val="9"/>
            <color indexed="81"/>
            <rFont val="Tahoma"/>
            <charset val="1"/>
          </rPr>
          <t xml:space="preserve">
15% de margem liquida
    </t>
        </r>
        <r>
          <rPr>
            <sz val="9"/>
            <color indexed="81"/>
            <rFont val="Tahoma"/>
            <family val="2"/>
          </rPr>
          <t>270.000 por ano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Leonardo:</t>
        </r>
        <r>
          <rPr>
            <sz val="9"/>
            <color indexed="81"/>
            <rFont val="Tahoma"/>
            <family val="2"/>
          </rPr>
          <t xml:space="preserve">
1500
-
150 lucro primeiro ano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 xml:space="preserve">TIR convencional
</t>
        </r>
        <r>
          <rPr>
            <sz val="9"/>
            <color indexed="81"/>
            <rFont val="Tahoma"/>
            <family val="2"/>
          </rPr>
          <t xml:space="preserve">reinv fl caixa positivo na mesma tx, ou seja, no mesmo negocio
</t>
        </r>
        <r>
          <rPr>
            <b/>
            <sz val="9"/>
            <color indexed="81"/>
            <rFont val="Tahoma"/>
            <family val="2"/>
          </rPr>
          <t xml:space="preserve">TIR modificada
</t>
        </r>
        <r>
          <rPr>
            <sz val="9"/>
            <color indexed="81"/>
            <rFont val="Tahoma"/>
            <family val="2"/>
          </rPr>
          <t>reinv fl caixa positivo em txs menores no mercado finnac (ex tit do tesouro)</t>
        </r>
      </text>
    </comment>
  </commentList>
</comments>
</file>

<file path=xl/sharedStrings.xml><?xml version="1.0" encoding="utf-8"?>
<sst xmlns="http://schemas.openxmlformats.org/spreadsheetml/2006/main" count="509" uniqueCount="159">
  <si>
    <t>R$/muda</t>
  </si>
  <si>
    <t>adubo  insumos          outros</t>
  </si>
  <si>
    <t>/muda</t>
  </si>
  <si>
    <t>/há</t>
  </si>
  <si>
    <t>custos extras não orçados (10%)</t>
  </si>
  <si>
    <t>+</t>
  </si>
  <si>
    <t xml:space="preserve"> Δ %</t>
  </si>
  <si>
    <t>custo/há</t>
  </si>
  <si>
    <t>1.º corte</t>
  </si>
  <si>
    <t>2.º corte</t>
  </si>
  <si>
    <t>3.º corte</t>
  </si>
  <si>
    <t>lenha</t>
  </si>
  <si>
    <t xml:space="preserve">serraria </t>
  </si>
  <si>
    <t xml:space="preserve">D.A.P. </t>
  </si>
  <si>
    <t>18 cm</t>
  </si>
  <si>
    <t>50 cm</t>
  </si>
  <si>
    <t>estimativa de valor da madeira em pé</t>
  </si>
  <si>
    <t>PLANTIO</t>
  </si>
  <si>
    <t>condução rebrota</t>
  </si>
  <si>
    <t>reforma do plantio</t>
  </si>
  <si>
    <t xml:space="preserve"> SITUAÇÃO 1</t>
  </si>
  <si>
    <t xml:space="preserve"> SITUAÇÃO 2</t>
  </si>
  <si>
    <t xml:space="preserve"> SITUAÇÃO 3</t>
  </si>
  <si>
    <t>investimento inicial</t>
  </si>
  <si>
    <t>FLUXOS DE CAIXA</t>
  </si>
  <si>
    <t>RASCUNHO PARA CÁLCULO V.P.L.  -  zerei o investimento inic em 2014</t>
  </si>
  <si>
    <t xml:space="preserve">produtividade                             metro stereo                                      </t>
  </si>
  <si>
    <t>custo total area inclinada</t>
  </si>
  <si>
    <t xml:space="preserve">espaç 3 x 3  1.111 </t>
  </si>
  <si>
    <t>mudas/há</t>
  </si>
  <si>
    <t>R$/ há</t>
  </si>
  <si>
    <r>
      <t xml:space="preserve">produtividade       </t>
    </r>
    <r>
      <rPr>
        <b/>
        <sz val="12"/>
        <color theme="1"/>
        <rFont val="Calibri"/>
        <family val="2"/>
        <scheme val="minor"/>
      </rPr>
      <t>stereo/há</t>
    </r>
  </si>
  <si>
    <t>Avaliação Financeira de Ativos Florestais - Madeira de Ciclo Curto</t>
  </si>
  <si>
    <t>analise final</t>
  </si>
  <si>
    <t>não investir</t>
  </si>
  <si>
    <t>?  ?  ?  ?</t>
  </si>
  <si>
    <t>investir</t>
  </si>
  <si>
    <t>serraria</t>
  </si>
  <si>
    <t xml:space="preserve">Avaliação Financeira de Ativos Florestais - Madeira de Ciclo Longo </t>
  </si>
  <si>
    <t>BAIXA TECNOLOGIA</t>
  </si>
  <si>
    <t>TECNOLOGIA CONVENCIONAL</t>
  </si>
  <si>
    <t>ALTA TECNOLOGIA</t>
  </si>
  <si>
    <t>tratos culturais</t>
  </si>
  <si>
    <t>PLANTIO INICIAL</t>
  </si>
  <si>
    <t>3 X 3</t>
  </si>
  <si>
    <t>mudas / há</t>
  </si>
  <si>
    <t>espaç</t>
  </si>
  <si>
    <t>stand inicial</t>
  </si>
  <si>
    <t>mortalidade 10 %</t>
  </si>
  <si>
    <t>1.º desbaste</t>
  </si>
  <si>
    <t>2.º desbaste</t>
  </si>
  <si>
    <t>corte das toras</t>
  </si>
  <si>
    <t>corte toras</t>
  </si>
  <si>
    <t>% colhido</t>
  </si>
  <si>
    <t>arv colhidas</t>
  </si>
  <si>
    <t>ano colheita</t>
  </si>
  <si>
    <t>?</t>
  </si>
  <si>
    <t>vol colhido</t>
  </si>
  <si>
    <t>st</t>
  </si>
  <si>
    <t>m3</t>
  </si>
  <si>
    <t>valor</t>
  </si>
  <si>
    <t>/st</t>
  </si>
  <si>
    <t>/m3</t>
  </si>
  <si>
    <t>OBS:</t>
  </si>
  <si>
    <t>os valores do preco da madeira</t>
  </si>
  <si>
    <t xml:space="preserve">madeira tem que ser </t>
  </si>
  <si>
    <t xml:space="preserve">corrigidos pelos </t>
  </si>
  <si>
    <t>índices de inflação</t>
  </si>
  <si>
    <t>ao longo dos anos</t>
  </si>
  <si>
    <t>ex: IPCA ou IGPM</t>
  </si>
  <si>
    <t>OBSERVAÇÕES              -                 madeira para serraria   -             1.111 MUDAS/HA</t>
  </si>
  <si>
    <t>OBSERVAÇÕES              -                 madeira energia e celulose   -             1.111 MUDAS/HA</t>
  </si>
  <si>
    <t>Análises Financeiras              -                 madeira energia e celulose   -             1.111 MUDAS/HA</t>
  </si>
  <si>
    <t>Análises Financeiras               -                 madeira para serraria   -             1.111 MUDAS/HA</t>
  </si>
  <si>
    <t>nesse estudo utilizou-se</t>
  </si>
  <si>
    <t>somente o valor presente</t>
  </si>
  <si>
    <t>especie</t>
  </si>
  <si>
    <t>st/há/ano</t>
  </si>
  <si>
    <t xml:space="preserve">       M.O.         area inclinada</t>
  </si>
  <si>
    <t xml:space="preserve">      M.O.         area inclinada</t>
  </si>
  <si>
    <t xml:space="preserve"> ALTA TECNOLOGIA </t>
  </si>
  <si>
    <t xml:space="preserve">BAIXA TECNOLOGIA </t>
  </si>
  <si>
    <t>tecnologia</t>
  </si>
  <si>
    <t>baixa</t>
  </si>
  <si>
    <t>convencional</t>
  </si>
  <si>
    <t>alta</t>
  </si>
  <si>
    <t>celulose &amp; energia</t>
  </si>
  <si>
    <t xml:space="preserve">alta </t>
  </si>
  <si>
    <t>finalidade</t>
  </si>
  <si>
    <t>tecnologia empregada</t>
  </si>
  <si>
    <t>viabilidade tecnica</t>
  </si>
  <si>
    <t>risco</t>
  </si>
  <si>
    <t>eucalipto</t>
  </si>
  <si>
    <t>ciclo</t>
  </si>
  <si>
    <t>curto</t>
  </si>
  <si>
    <t>longo</t>
  </si>
  <si>
    <t>&gt;</t>
  </si>
  <si>
    <t>RISCO</t>
  </si>
  <si>
    <t>PESSOAL NÃO EXISTE ALMOÇO DE GRAÇA !</t>
  </si>
  <si>
    <t xml:space="preserve"> RETORNO</t>
  </si>
  <si>
    <t xml:space="preserve">     produtividade                                      metro stereo                                   </t>
  </si>
  <si>
    <t>1.º corte raso</t>
  </si>
  <si>
    <t>2.º corte raso</t>
  </si>
  <si>
    <t>3.º corte raso</t>
  </si>
  <si>
    <t>3,5 X 3,5</t>
  </si>
  <si>
    <t>OBSERVAÇÕES              -                 madeira para serraria   -           816 MUDAS/HA</t>
  </si>
  <si>
    <t>Análises Financeiras                -                 madeira para serraria   -             816 MUDAS/HA</t>
  </si>
  <si>
    <t>espaçamento</t>
  </si>
  <si>
    <t>3 x 3</t>
  </si>
  <si>
    <t xml:space="preserve">3 x 3 </t>
  </si>
  <si>
    <t>3,5 x 3,5</t>
  </si>
  <si>
    <t>custo de oportunidade</t>
  </si>
  <si>
    <t>T.I.R. convencional</t>
  </si>
  <si>
    <t>excelente</t>
  </si>
  <si>
    <t>muito boa</t>
  </si>
  <si>
    <t>boa</t>
  </si>
  <si>
    <t>lucratividade ( V.P./ invest inic.)</t>
  </si>
  <si>
    <t>PAYBACK em anos</t>
  </si>
  <si>
    <t>T.I.R. convencional ao ano</t>
  </si>
  <si>
    <t xml:space="preserve"> investir</t>
  </si>
  <si>
    <r>
      <t xml:space="preserve">V.P. ( </t>
    </r>
    <r>
      <rPr>
        <sz val="8"/>
        <color theme="1"/>
        <rFont val="Calibri"/>
        <family val="2"/>
        <scheme val="minor"/>
      </rPr>
      <t>dos fluxos de caixa )</t>
    </r>
  </si>
  <si>
    <r>
      <t xml:space="preserve">V.P.L.   </t>
    </r>
    <r>
      <rPr>
        <sz val="8"/>
        <color theme="1"/>
        <rFont val="Calibri"/>
        <family val="2"/>
        <scheme val="minor"/>
      </rPr>
      <t>( V.P. - invest inicial )</t>
    </r>
  </si>
  <si>
    <t>V.P. ( dos fluxos de caixa )</t>
  </si>
  <si>
    <t>V.P.L.   ( V.P. - invest inicial )</t>
  </si>
  <si>
    <t xml:space="preserve">    PAYBACK em anos</t>
  </si>
  <si>
    <t>saida valor terra corrigido a 4% a.a.</t>
  </si>
  <si>
    <t>entrada valor terra R$6.000/há</t>
  </si>
  <si>
    <t>valor terra</t>
  </si>
  <si>
    <t>plantio eucalipto com preco terra</t>
  </si>
  <si>
    <t>correcao 4% a.a.</t>
  </si>
  <si>
    <t>Avaliação Financeira de Ativos Florestais - Habib´s x madeira</t>
  </si>
  <si>
    <t>loja completa com estacinamento, drive thru, play para crianças</t>
  </si>
  <si>
    <t>loja simples de shoping center</t>
  </si>
  <si>
    <t>FLUXOS DE CAIXA  -  Franquia Habib´s x madeira</t>
  </si>
  <si>
    <t>Análises Financeiras   -  Franquia Habib´s x madeira</t>
  </si>
  <si>
    <t>Situação 1</t>
  </si>
  <si>
    <t>resultado liquido anual</t>
  </si>
  <si>
    <t>Situação 2</t>
  </si>
  <si>
    <t>Situação 3</t>
  </si>
  <si>
    <t>invest inicial medio para abrir uma franquia do Habib´s</t>
  </si>
  <si>
    <t>eucalipto com custo terra</t>
  </si>
  <si>
    <t>eucalipto sem custo terra</t>
  </si>
  <si>
    <t>invest inic na loja completa</t>
  </si>
  <si>
    <t xml:space="preserve">Situação 2 </t>
  </si>
  <si>
    <t xml:space="preserve">Situação 3 </t>
  </si>
  <si>
    <t>OBSERVAÇÕES   -  Como comparar em que investir - "Franquia Habib´s"  x  plantio de floresta</t>
  </si>
  <si>
    <t>vendas/ano</t>
  </si>
  <si>
    <t xml:space="preserve">C.M.V. </t>
  </si>
  <si>
    <t>lucro bruto</t>
  </si>
  <si>
    <t>desp operac + I.R.</t>
  </si>
  <si>
    <t>resultado</t>
  </si>
  <si>
    <t>loja completa situacao 1</t>
  </si>
  <si>
    <t>loja completa situacao 2</t>
  </si>
  <si>
    <t>loja completa situacao 3</t>
  </si>
  <si>
    <t>custo/muda</t>
  </si>
  <si>
    <t>R$5   X   1.111 mudas</t>
  </si>
  <si>
    <t>*volume total de 600 st em 12 anos ou 50 st/há/ano</t>
  </si>
  <si>
    <t>*volume total de 550 st em 12 anos ou 50 st/há/ano</t>
  </si>
  <si>
    <t>Avaliação Financeira de Ativos Florestais - com valor da terra</t>
  </si>
</sst>
</file>

<file path=xl/styles.xml><?xml version="1.0" encoding="utf-8"?>
<styleSheet xmlns="http://schemas.openxmlformats.org/spreadsheetml/2006/main">
  <numFmts count="9">
    <numFmt numFmtId="6" formatCode="&quot;R$&quot;\ #,##0;[Red]\-&quot;R$&quot;\ #,##0"/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-&quot;R$&quot;\ * #,##0_-;\-&quot;R$&quot;\ * #,##0_-;_-&quot;R$&quot;\ * &quot;-&quot;??_-;_-@_-"/>
    <numFmt numFmtId="165" formatCode="_-&quot;R$&quot;\ * #,##0.000_-;\-&quot;R$&quot;\ * #,##0.000_-;_-&quot;R$&quot;\ * &quot;-&quot;_-;_-@_-"/>
    <numFmt numFmtId="166" formatCode="_-&quot;R$&quot;\ * #,##0.00_-;\-&quot;R$&quot;\ * #,##0.00_-;_-&quot;R$&quot;\ * &quot;-&quot;_-;_-@_-"/>
    <numFmt numFmtId="167" formatCode="#,##0_ ;\-#,##0\ "/>
    <numFmt numFmtId="168" formatCode="0.0"/>
  </numFmts>
  <fonts count="4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26"/>
      <color theme="1"/>
      <name val="Calibri"/>
      <family val="2"/>
      <scheme val="minor"/>
    </font>
    <font>
      <sz val="30"/>
      <name val="Calibri"/>
      <family val="2"/>
      <scheme val="minor"/>
    </font>
    <font>
      <sz val="7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4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5" borderId="0" xfId="0" applyFont="1" applyFill="1"/>
    <xf numFmtId="0" fontId="5" fillId="3" borderId="0" xfId="0" applyFont="1" applyFill="1"/>
    <xf numFmtId="42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ill="1"/>
    <xf numFmtId="4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5" fillId="3" borderId="0" xfId="0" applyNumberFormat="1" applyFont="1" applyFill="1" applyBorder="1"/>
    <xf numFmtId="42" fontId="10" fillId="3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6" fontId="0" fillId="3" borderId="0" xfId="0" applyNumberFormat="1" applyFill="1"/>
    <xf numFmtId="166" fontId="0" fillId="3" borderId="0" xfId="0" applyNumberFormat="1" applyFill="1" applyAlignment="1">
      <alignment horizontal="center"/>
    </xf>
    <xf numFmtId="166" fontId="4" fillId="3" borderId="0" xfId="0" applyNumberFormat="1" applyFont="1" applyFill="1"/>
    <xf numFmtId="166" fontId="5" fillId="3" borderId="0" xfId="0" applyNumberFormat="1" applyFont="1" applyFill="1"/>
    <xf numFmtId="166" fontId="4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167" fontId="7" fillId="3" borderId="5" xfId="0" applyNumberFormat="1" applyFont="1" applyFill="1" applyBorder="1" applyAlignment="1">
      <alignment horizontal="center"/>
    </xf>
    <xf numFmtId="9" fontId="4" fillId="3" borderId="0" xfId="1" applyFont="1" applyFill="1" applyBorder="1"/>
    <xf numFmtId="9" fontId="4" fillId="3" borderId="0" xfId="1" applyFont="1" applyFill="1" applyBorder="1" applyAlignment="1">
      <alignment horizontal="left"/>
    </xf>
    <xf numFmtId="9" fontId="4" fillId="3" borderId="0" xfId="0" applyNumberFormat="1" applyFont="1" applyFill="1"/>
    <xf numFmtId="9" fontId="4" fillId="5" borderId="0" xfId="1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166" fontId="6" fillId="3" borderId="5" xfId="0" applyNumberFormat="1" applyFont="1" applyFill="1" applyBorder="1" applyAlignment="1">
      <alignment horizontal="center"/>
    </xf>
    <xf numFmtId="0" fontId="9" fillId="3" borderId="0" xfId="0" applyFont="1" applyFill="1"/>
    <xf numFmtId="166" fontId="8" fillId="3" borderId="0" xfId="0" applyNumberFormat="1" applyFont="1" applyFill="1"/>
    <xf numFmtId="0" fontId="8" fillId="3" borderId="0" xfId="0" applyFont="1" applyFill="1"/>
    <xf numFmtId="9" fontId="4" fillId="5" borderId="0" xfId="0" applyNumberFormat="1" applyFont="1" applyFill="1" applyAlignment="1">
      <alignment horizontal="left"/>
    </xf>
    <xf numFmtId="166" fontId="1" fillId="3" borderId="0" xfId="0" applyNumberFormat="1" applyFont="1" applyFill="1" applyBorder="1" applyAlignment="1">
      <alignment horizontal="left"/>
    </xf>
    <xf numFmtId="166" fontId="1" fillId="3" borderId="0" xfId="0" applyNumberFormat="1" applyFont="1" applyFill="1"/>
    <xf numFmtId="9" fontId="1" fillId="3" borderId="0" xfId="1" applyFont="1" applyFill="1" applyBorder="1"/>
    <xf numFmtId="42" fontId="6" fillId="3" borderId="5" xfId="0" applyNumberFormat="1" applyFont="1" applyFill="1" applyBorder="1" applyAlignment="1">
      <alignment horizontal="center"/>
    </xf>
    <xf numFmtId="42" fontId="10" fillId="3" borderId="0" xfId="0" applyNumberFormat="1" applyFont="1" applyFill="1" applyBorder="1" applyAlignment="1">
      <alignment horizontal="center"/>
    </xf>
    <xf numFmtId="42" fontId="1" fillId="3" borderId="0" xfId="0" applyNumberFormat="1" applyFont="1" applyFill="1"/>
    <xf numFmtId="6" fontId="1" fillId="3" borderId="0" xfId="0" applyNumberFormat="1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42" fontId="3" fillId="3" borderId="0" xfId="0" applyNumberFormat="1" applyFont="1" applyFill="1" applyAlignment="1">
      <alignment horizontal="center"/>
    </xf>
    <xf numFmtId="42" fontId="1" fillId="3" borderId="0" xfId="0" applyNumberFormat="1" applyFont="1" applyFill="1" applyAlignment="1">
      <alignment horizontal="center"/>
    </xf>
    <xf numFmtId="0" fontId="1" fillId="3" borderId="0" xfId="0" applyFont="1" applyFill="1" applyAlignment="1"/>
    <xf numFmtId="0" fontId="0" fillId="3" borderId="1" xfId="0" applyFont="1" applyFill="1" applyBorder="1" applyAlignment="1">
      <alignment horizontal="center"/>
    </xf>
    <xf numFmtId="42" fontId="0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42" fontId="10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42" fontId="14" fillId="3" borderId="0" xfId="0" applyNumberFormat="1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2" fontId="1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4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2" fontId="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2" fontId="0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3" fontId="4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" fontId="13" fillId="3" borderId="8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9" fontId="7" fillId="3" borderId="1" xfId="0" applyNumberFormat="1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42" fontId="7" fillId="3" borderId="2" xfId="0" applyNumberFormat="1" applyFont="1" applyFill="1" applyBorder="1" applyAlignment="1">
      <alignment horizontal="center" wrapText="1"/>
    </xf>
    <xf numFmtId="9" fontId="7" fillId="3" borderId="1" xfId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>
      <alignment horizontal="right"/>
    </xf>
    <xf numFmtId="0" fontId="14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44" fontId="14" fillId="3" borderId="2" xfId="0" applyNumberFormat="1" applyFont="1" applyFill="1" applyBorder="1" applyAlignment="1">
      <alignment horizontal="center" wrapText="1"/>
    </xf>
    <xf numFmtId="44" fontId="7" fillId="3" borderId="0" xfId="0" applyNumberFormat="1" applyFont="1" applyFill="1" applyBorder="1" applyAlignment="1">
      <alignment horizontal="center" wrapText="1"/>
    </xf>
    <xf numFmtId="44" fontId="7" fillId="3" borderId="2" xfId="0" applyNumberFormat="1" applyFont="1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6" fontId="0" fillId="3" borderId="0" xfId="0" applyNumberFormat="1" applyFill="1" applyAlignment="1">
      <alignment horizontal="center"/>
    </xf>
    <xf numFmtId="0" fontId="23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21" fillId="3" borderId="0" xfId="0" applyFont="1" applyFill="1"/>
    <xf numFmtId="0" fontId="24" fillId="3" borderId="0" xfId="0" applyFont="1" applyFill="1" applyAlignment="1">
      <alignment horizontal="right"/>
    </xf>
    <xf numFmtId="0" fontId="14" fillId="3" borderId="0" xfId="0" applyFont="1" applyFill="1"/>
    <xf numFmtId="0" fontId="7" fillId="3" borderId="0" xfId="0" applyFont="1" applyFill="1"/>
    <xf numFmtId="164" fontId="4" fillId="3" borderId="0" xfId="0" applyNumberFormat="1" applyFont="1" applyFill="1"/>
    <xf numFmtId="0" fontId="21" fillId="3" borderId="0" xfId="0" applyFont="1" applyFill="1" applyBorder="1"/>
    <xf numFmtId="0" fontId="5" fillId="3" borderId="0" xfId="0" applyFont="1" applyFill="1" applyBorder="1" applyAlignment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4" fillId="3" borderId="0" xfId="0" applyFont="1" applyFill="1" applyAlignment="1"/>
    <xf numFmtId="0" fontId="14" fillId="7" borderId="0" xfId="0" applyFont="1" applyFill="1"/>
    <xf numFmtId="0" fontId="14" fillId="2" borderId="0" xfId="0" applyFont="1" applyFill="1"/>
    <xf numFmtId="3" fontId="21" fillId="3" borderId="0" xfId="0" applyNumberFormat="1" applyFont="1" applyFill="1"/>
    <xf numFmtId="0" fontId="32" fillId="3" borderId="0" xfId="0" applyFont="1" applyFill="1" applyBorder="1" applyAlignment="1"/>
    <xf numFmtId="0" fontId="33" fillId="3" borderId="0" xfId="0" applyFont="1" applyFill="1"/>
    <xf numFmtId="0" fontId="34" fillId="3" borderId="0" xfId="0" applyFont="1" applyFill="1" applyAlignment="1">
      <alignment horizontal="right"/>
    </xf>
    <xf numFmtId="0" fontId="3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 wrapText="1"/>
    </xf>
    <xf numFmtId="0" fontId="35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/>
    </xf>
    <xf numFmtId="0" fontId="0" fillId="3" borderId="0" xfId="0" applyFill="1" applyBorder="1"/>
    <xf numFmtId="0" fontId="1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Border="1"/>
    <xf numFmtId="6" fontId="0" fillId="3" borderId="0" xfId="0" applyNumberFormat="1" applyFill="1" applyBorder="1" applyAlignment="1">
      <alignment horizontal="center"/>
    </xf>
    <xf numFmtId="9" fontId="0" fillId="3" borderId="9" xfId="0" applyNumberForma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9" fontId="0" fillId="3" borderId="12" xfId="0" applyNumberForma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42" fontId="10" fillId="3" borderId="12" xfId="0" applyNumberFormat="1" applyFont="1" applyFill="1" applyBorder="1" applyAlignment="1">
      <alignment horizontal="center"/>
    </xf>
    <xf numFmtId="8" fontId="14" fillId="3" borderId="12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6" fontId="0" fillId="3" borderId="12" xfId="0" applyNumberForma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8" fontId="0" fillId="3" borderId="12" xfId="0" applyNumberFormat="1" applyFill="1" applyBorder="1" applyAlignment="1">
      <alignment horizontal="center"/>
    </xf>
    <xf numFmtId="6" fontId="14" fillId="3" borderId="1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35" fillId="3" borderId="0" xfId="0" applyFont="1" applyFill="1" applyAlignment="1">
      <alignment horizont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wrapText="1"/>
    </xf>
    <xf numFmtId="0" fontId="0" fillId="8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36" fillId="3" borderId="14" xfId="0" applyFont="1" applyFill="1" applyBorder="1"/>
    <xf numFmtId="1" fontId="36" fillId="2" borderId="16" xfId="0" applyNumberFormat="1" applyFont="1" applyFill="1" applyBorder="1" applyAlignment="1">
      <alignment horizontal="center"/>
    </xf>
    <xf numFmtId="1" fontId="36" fillId="3" borderId="14" xfId="0" applyNumberFormat="1" applyFont="1" applyFill="1" applyBorder="1"/>
    <xf numFmtId="1" fontId="36" fillId="5" borderId="16" xfId="0" applyNumberFormat="1" applyFont="1" applyFill="1" applyBorder="1" applyAlignment="1">
      <alignment horizontal="center"/>
    </xf>
    <xf numFmtId="1" fontId="36" fillId="4" borderId="16" xfId="0" applyNumberFormat="1" applyFont="1" applyFill="1" applyBorder="1" applyAlignment="1">
      <alignment horizontal="center"/>
    </xf>
    <xf numFmtId="42" fontId="1" fillId="5" borderId="0" xfId="0" applyNumberFormat="1" applyFont="1" applyFill="1"/>
    <xf numFmtId="0" fontId="1" fillId="5" borderId="0" xfId="0" applyFont="1" applyFill="1" applyAlignment="1">
      <alignment horizontal="center"/>
    </xf>
    <xf numFmtId="42" fontId="3" fillId="3" borderId="0" xfId="0" applyNumberFormat="1" applyFont="1" applyFill="1"/>
    <xf numFmtId="42" fontId="14" fillId="5" borderId="0" xfId="0" applyNumberFormat="1" applyFont="1" applyFill="1" applyBorder="1" applyAlignment="1">
      <alignment horizontal="center"/>
    </xf>
    <xf numFmtId="6" fontId="1" fillId="3" borderId="0" xfId="0" applyNumberFormat="1" applyFont="1" applyFill="1" applyBorder="1" applyAlignment="1">
      <alignment horizontal="center"/>
    </xf>
    <xf numFmtId="42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0" fontId="0" fillId="5" borderId="0" xfId="0" applyFont="1" applyFill="1" applyAlignment="1">
      <alignment horizontal="center"/>
    </xf>
    <xf numFmtId="42" fontId="0" fillId="5" borderId="0" xfId="0" applyNumberFormat="1" applyFont="1" applyFill="1"/>
    <xf numFmtId="42" fontId="0" fillId="3" borderId="0" xfId="0" applyNumberFormat="1" applyFont="1" applyFill="1"/>
    <xf numFmtId="0" fontId="11" fillId="5" borderId="0" xfId="0" applyFont="1" applyFill="1"/>
    <xf numFmtId="0" fontId="0" fillId="5" borderId="0" xfId="0" applyFill="1" applyAlignment="1">
      <alignment horizontal="center"/>
    </xf>
    <xf numFmtId="0" fontId="8" fillId="5" borderId="0" xfId="0" applyFont="1" applyFill="1"/>
    <xf numFmtId="0" fontId="1" fillId="5" borderId="0" xfId="0" applyFont="1" applyFill="1"/>
    <xf numFmtId="164" fontId="0" fillId="3" borderId="0" xfId="0" applyNumberForma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42" fontId="10" fillId="3" borderId="2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42" fontId="4" fillId="3" borderId="0" xfId="0" applyNumberFormat="1" applyFont="1" applyFill="1"/>
    <xf numFmtId="0" fontId="0" fillId="5" borderId="0" xfId="0" applyFill="1" applyAlignment="1">
      <alignment horizontal="left"/>
    </xf>
    <xf numFmtId="9" fontId="0" fillId="3" borderId="0" xfId="0" applyNumberFormat="1" applyFill="1" applyBorder="1" applyAlignment="1">
      <alignment horizontal="left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6" fontId="1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10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42" fontId="1" fillId="3" borderId="0" xfId="0" applyNumberFormat="1" applyFont="1" applyFill="1" applyBorder="1"/>
    <xf numFmtId="0" fontId="1" fillId="3" borderId="0" xfId="0" applyFont="1" applyFill="1" applyBorder="1" applyAlignment="1">
      <alignment horizontal="left"/>
    </xf>
    <xf numFmtId="9" fontId="1" fillId="3" borderId="0" xfId="0" applyNumberFormat="1" applyFont="1" applyFill="1" applyBorder="1"/>
    <xf numFmtId="0" fontId="1" fillId="3" borderId="0" xfId="0" applyFont="1" applyFill="1" applyBorder="1"/>
    <xf numFmtId="42" fontId="3" fillId="3" borderId="0" xfId="0" applyNumberFormat="1" applyFont="1" applyFill="1" applyBorder="1"/>
    <xf numFmtId="0" fontId="4" fillId="3" borderId="0" xfId="0" applyFont="1" applyFill="1" applyAlignment="1">
      <alignment horizontal="center"/>
    </xf>
    <xf numFmtId="0" fontId="38" fillId="3" borderId="0" xfId="0" applyFont="1" applyFill="1" applyBorder="1" applyAlignment="1"/>
    <xf numFmtId="0" fontId="21" fillId="3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38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3" fontId="38" fillId="3" borderId="1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9" fontId="21" fillId="3" borderId="7" xfId="0" applyNumberFormat="1" applyFont="1" applyFill="1" applyBorder="1" applyAlignment="1">
      <alignment horizontal="center"/>
    </xf>
    <xf numFmtId="42" fontId="40" fillId="3" borderId="1" xfId="0" applyNumberFormat="1" applyFont="1" applyFill="1" applyBorder="1" applyAlignment="1"/>
    <xf numFmtId="42" fontId="40" fillId="3" borderId="1" xfId="0" applyNumberFormat="1" applyFont="1" applyFill="1" applyBorder="1" applyAlignment="1">
      <alignment horizontal="center"/>
    </xf>
    <xf numFmtId="8" fontId="21" fillId="3" borderId="1" xfId="0" applyNumberFormat="1" applyFont="1" applyFill="1" applyBorder="1" applyAlignment="1">
      <alignment horizontal="center"/>
    </xf>
    <xf numFmtId="6" fontId="21" fillId="3" borderId="1" xfId="0" applyNumberFormat="1" applyFont="1" applyFill="1" applyBorder="1" applyAlignment="1">
      <alignment horizontal="center"/>
    </xf>
    <xf numFmtId="10" fontId="21" fillId="3" borderId="1" xfId="0" applyNumberFormat="1" applyFont="1" applyFill="1" applyBorder="1" applyAlignment="1">
      <alignment horizontal="center"/>
    </xf>
    <xf numFmtId="10" fontId="21" fillId="3" borderId="7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9" fontId="21" fillId="3" borderId="1" xfId="0" applyNumberFormat="1" applyFont="1" applyFill="1" applyBorder="1" applyAlignment="1">
      <alignment horizontal="center"/>
    </xf>
    <xf numFmtId="1" fontId="21" fillId="3" borderId="0" xfId="0" applyNumberFormat="1" applyFont="1" applyFill="1" applyBorder="1" applyAlignment="1"/>
    <xf numFmtId="1" fontId="21" fillId="3" borderId="0" xfId="0" applyNumberFormat="1" applyFont="1" applyFill="1" applyBorder="1" applyAlignment="1">
      <alignment horizontal="center"/>
    </xf>
    <xf numFmtId="1" fontId="21" fillId="3" borderId="0" xfId="0" applyNumberFormat="1" applyFont="1" applyFill="1"/>
    <xf numFmtId="0" fontId="21" fillId="3" borderId="0" xfId="0" applyFont="1" applyFill="1" applyAlignment="1">
      <alignment horizontal="left"/>
    </xf>
    <xf numFmtId="164" fontId="21" fillId="3" borderId="0" xfId="0" applyNumberFormat="1" applyFont="1" applyFill="1" applyAlignment="1">
      <alignment horizontal="center"/>
    </xf>
    <xf numFmtId="9" fontId="0" fillId="3" borderId="0" xfId="1" applyFont="1" applyFill="1"/>
    <xf numFmtId="0" fontId="26" fillId="3" borderId="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/>
    <xf numFmtId="9" fontId="2" fillId="3" borderId="0" xfId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9" fontId="8" fillId="3" borderId="0" xfId="1" applyFont="1" applyFill="1" applyAlignment="1">
      <alignment horizontal="center"/>
    </xf>
    <xf numFmtId="164" fontId="1" fillId="3" borderId="0" xfId="0" applyNumberFormat="1" applyFont="1" applyFill="1"/>
    <xf numFmtId="168" fontId="0" fillId="3" borderId="12" xfId="0" applyNumberFormat="1" applyFill="1" applyBorder="1" applyAlignment="1">
      <alignment horizontal="center"/>
    </xf>
    <xf numFmtId="167" fontId="42" fillId="3" borderId="0" xfId="0" applyNumberFormat="1" applyFont="1" applyFill="1" applyAlignment="1">
      <alignment horizontal="center"/>
    </xf>
    <xf numFmtId="0" fontId="12" fillId="8" borderId="8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34" fillId="3" borderId="0" xfId="0" applyFont="1" applyFill="1" applyBorder="1" applyAlignment="1">
      <alignment wrapText="1"/>
    </xf>
    <xf numFmtId="0" fontId="17" fillId="6" borderId="2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4" fillId="3" borderId="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30" fillId="2" borderId="0" xfId="0" applyFont="1" applyFill="1" applyAlignment="1">
      <alignment horizontal="right" vertical="center"/>
    </xf>
    <xf numFmtId="0" fontId="25" fillId="3" borderId="0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right" vertical="center"/>
    </xf>
    <xf numFmtId="0" fontId="29" fillId="7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6" fillId="3" borderId="13" xfId="0" applyFont="1" applyFill="1" applyBorder="1" applyAlignment="1">
      <alignment horizontal="center"/>
    </xf>
    <xf numFmtId="0" fontId="36" fillId="3" borderId="15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2" fillId="11" borderId="8" xfId="0" applyFont="1" applyFill="1" applyBorder="1" applyAlignment="1">
      <alignment horizontal="center" wrapText="1"/>
    </xf>
    <xf numFmtId="0" fontId="12" fillId="10" borderId="8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 wrapText="1"/>
    </xf>
    <xf numFmtId="0" fontId="12" fillId="11" borderId="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31" fillId="6" borderId="11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" fontId="25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4</xdr:col>
      <xdr:colOff>180975</xdr:colOff>
      <xdr:row>3</xdr:row>
      <xdr:rowOff>19050</xdr:rowOff>
    </xdr:to>
    <xdr:pic>
      <xdr:nvPicPr>
        <xdr:cNvPr id="4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3648075" cy="6953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38101</xdr:colOff>
      <xdr:row>74</xdr:row>
      <xdr:rowOff>66675</xdr:rowOff>
    </xdr:from>
    <xdr:to>
      <xdr:col>2</xdr:col>
      <xdr:colOff>590551</xdr:colOff>
      <xdr:row>79</xdr:row>
      <xdr:rowOff>92583</xdr:rowOff>
    </xdr:to>
    <xdr:sp macro="" textlink="">
      <xdr:nvSpPr>
        <xdr:cNvPr id="3" name="Seta para baixo 2"/>
        <xdr:cNvSpPr/>
      </xdr:nvSpPr>
      <xdr:spPr>
        <a:xfrm>
          <a:off x="2266951" y="15868650"/>
          <a:ext cx="5524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228600</xdr:colOff>
      <xdr:row>74</xdr:row>
      <xdr:rowOff>66675</xdr:rowOff>
    </xdr:from>
    <xdr:to>
      <xdr:col>8</xdr:col>
      <xdr:colOff>351282</xdr:colOff>
      <xdr:row>79</xdr:row>
      <xdr:rowOff>92583</xdr:rowOff>
    </xdr:to>
    <xdr:sp macro="" textlink="">
      <xdr:nvSpPr>
        <xdr:cNvPr id="5" name="Seta para baixo 4"/>
        <xdr:cNvSpPr/>
      </xdr:nvSpPr>
      <xdr:spPr>
        <a:xfrm>
          <a:off x="8143875" y="132588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0</xdr:colOff>
      <xdr:row>74</xdr:row>
      <xdr:rowOff>66675</xdr:rowOff>
    </xdr:from>
    <xdr:to>
      <xdr:col>13</xdr:col>
      <xdr:colOff>484632</xdr:colOff>
      <xdr:row>79</xdr:row>
      <xdr:rowOff>92583</xdr:rowOff>
    </xdr:to>
    <xdr:sp macro="" textlink="">
      <xdr:nvSpPr>
        <xdr:cNvPr id="6" name="Seta para baixo 5"/>
        <xdr:cNvSpPr/>
      </xdr:nvSpPr>
      <xdr:spPr>
        <a:xfrm>
          <a:off x="11363325" y="132588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1143001</xdr:colOff>
      <xdr:row>43</xdr:row>
      <xdr:rowOff>66675</xdr:rowOff>
    </xdr:from>
    <xdr:to>
      <xdr:col>2</xdr:col>
      <xdr:colOff>400050</xdr:colOff>
      <xdr:row>48</xdr:row>
      <xdr:rowOff>76200</xdr:rowOff>
    </xdr:to>
    <xdr:sp macro="" textlink="">
      <xdr:nvSpPr>
        <xdr:cNvPr id="7" name="Seta para baixo 6"/>
        <xdr:cNvSpPr/>
      </xdr:nvSpPr>
      <xdr:spPr>
        <a:xfrm>
          <a:off x="2133601" y="10039350"/>
          <a:ext cx="495299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66675</xdr:colOff>
      <xdr:row>43</xdr:row>
      <xdr:rowOff>104775</xdr:rowOff>
    </xdr:from>
    <xdr:to>
      <xdr:col>8</xdr:col>
      <xdr:colOff>189357</xdr:colOff>
      <xdr:row>48</xdr:row>
      <xdr:rowOff>130683</xdr:rowOff>
    </xdr:to>
    <xdr:sp macro="" textlink="">
      <xdr:nvSpPr>
        <xdr:cNvPr id="8" name="Seta para baixo 7"/>
        <xdr:cNvSpPr/>
      </xdr:nvSpPr>
      <xdr:spPr>
        <a:xfrm>
          <a:off x="7981950" y="72961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342900</xdr:colOff>
      <xdr:row>44</xdr:row>
      <xdr:rowOff>47625</xdr:rowOff>
    </xdr:from>
    <xdr:to>
      <xdr:col>13</xdr:col>
      <xdr:colOff>379857</xdr:colOff>
      <xdr:row>49</xdr:row>
      <xdr:rowOff>0</xdr:rowOff>
    </xdr:to>
    <xdr:sp macro="" textlink="">
      <xdr:nvSpPr>
        <xdr:cNvPr id="9" name="Seta para baixo 8"/>
        <xdr:cNvSpPr/>
      </xdr:nvSpPr>
      <xdr:spPr>
        <a:xfrm>
          <a:off x="11258550" y="74295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981075</xdr:colOff>
      <xdr:row>14</xdr:row>
      <xdr:rowOff>257175</xdr:rowOff>
    </xdr:from>
    <xdr:to>
      <xdr:col>2</xdr:col>
      <xdr:colOff>219075</xdr:colOff>
      <xdr:row>17</xdr:row>
      <xdr:rowOff>238124</xdr:rowOff>
    </xdr:to>
    <xdr:sp macro="" textlink="">
      <xdr:nvSpPr>
        <xdr:cNvPr id="10" name="Seta para baixo 9"/>
        <xdr:cNvSpPr/>
      </xdr:nvSpPr>
      <xdr:spPr>
        <a:xfrm>
          <a:off x="1733550" y="5200650"/>
          <a:ext cx="476250" cy="10096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800101</xdr:colOff>
      <xdr:row>14</xdr:row>
      <xdr:rowOff>276225</xdr:rowOff>
    </xdr:from>
    <xdr:to>
      <xdr:col>7</xdr:col>
      <xdr:colOff>95251</xdr:colOff>
      <xdr:row>17</xdr:row>
      <xdr:rowOff>209550</xdr:rowOff>
    </xdr:to>
    <xdr:sp macro="" textlink="">
      <xdr:nvSpPr>
        <xdr:cNvPr id="11" name="Seta para baixo 10"/>
        <xdr:cNvSpPr/>
      </xdr:nvSpPr>
      <xdr:spPr>
        <a:xfrm>
          <a:off x="4953001" y="5219700"/>
          <a:ext cx="514350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819150</xdr:colOff>
      <xdr:row>14</xdr:row>
      <xdr:rowOff>209550</xdr:rowOff>
    </xdr:from>
    <xdr:to>
      <xdr:col>12</xdr:col>
      <xdr:colOff>114299</xdr:colOff>
      <xdr:row>17</xdr:row>
      <xdr:rowOff>152400</xdr:rowOff>
    </xdr:to>
    <xdr:sp macro="" textlink="">
      <xdr:nvSpPr>
        <xdr:cNvPr id="12" name="Seta para baixo 11"/>
        <xdr:cNvSpPr/>
      </xdr:nvSpPr>
      <xdr:spPr>
        <a:xfrm>
          <a:off x="8020050" y="5153025"/>
          <a:ext cx="466724" cy="971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4</xdr:col>
      <xdr:colOff>723900</xdr:colOff>
      <xdr:row>3</xdr:row>
      <xdr:rowOff>19050</xdr:rowOff>
    </xdr:to>
    <xdr:pic>
      <xdr:nvPicPr>
        <xdr:cNvPr id="2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3667125" cy="6953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38101</xdr:colOff>
      <xdr:row>89</xdr:row>
      <xdr:rowOff>66675</xdr:rowOff>
    </xdr:from>
    <xdr:to>
      <xdr:col>3</xdr:col>
      <xdr:colOff>590551</xdr:colOff>
      <xdr:row>94</xdr:row>
      <xdr:rowOff>92583</xdr:rowOff>
    </xdr:to>
    <xdr:sp macro="" textlink="">
      <xdr:nvSpPr>
        <xdr:cNvPr id="3" name="Seta para baixo 2"/>
        <xdr:cNvSpPr/>
      </xdr:nvSpPr>
      <xdr:spPr>
        <a:xfrm>
          <a:off x="2266951" y="16487775"/>
          <a:ext cx="5524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228600</xdr:colOff>
      <xdr:row>89</xdr:row>
      <xdr:rowOff>66675</xdr:rowOff>
    </xdr:from>
    <xdr:to>
      <xdr:col>9</xdr:col>
      <xdr:colOff>351282</xdr:colOff>
      <xdr:row>94</xdr:row>
      <xdr:rowOff>92583</xdr:rowOff>
    </xdr:to>
    <xdr:sp macro="" textlink="">
      <xdr:nvSpPr>
        <xdr:cNvPr id="4" name="Seta para baixo 3"/>
        <xdr:cNvSpPr/>
      </xdr:nvSpPr>
      <xdr:spPr>
        <a:xfrm>
          <a:off x="5838825" y="164877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14</xdr:col>
      <xdr:colOff>0</xdr:colOff>
      <xdr:row>89</xdr:row>
      <xdr:rowOff>66675</xdr:rowOff>
    </xdr:from>
    <xdr:to>
      <xdr:col>14</xdr:col>
      <xdr:colOff>484632</xdr:colOff>
      <xdr:row>94</xdr:row>
      <xdr:rowOff>92583</xdr:rowOff>
    </xdr:to>
    <xdr:sp macro="" textlink="">
      <xdr:nvSpPr>
        <xdr:cNvPr id="5" name="Seta para baixo 4"/>
        <xdr:cNvSpPr/>
      </xdr:nvSpPr>
      <xdr:spPr>
        <a:xfrm>
          <a:off x="9058275" y="164877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1143001</xdr:colOff>
      <xdr:row>57</xdr:row>
      <xdr:rowOff>66675</xdr:rowOff>
    </xdr:from>
    <xdr:to>
      <xdr:col>3</xdr:col>
      <xdr:colOff>400050</xdr:colOff>
      <xdr:row>62</xdr:row>
      <xdr:rowOff>76200</xdr:rowOff>
    </xdr:to>
    <xdr:sp macro="" textlink="">
      <xdr:nvSpPr>
        <xdr:cNvPr id="6" name="Seta para baixo 5"/>
        <xdr:cNvSpPr/>
      </xdr:nvSpPr>
      <xdr:spPr>
        <a:xfrm>
          <a:off x="2133601" y="10439400"/>
          <a:ext cx="495299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66675</xdr:colOff>
      <xdr:row>57</xdr:row>
      <xdr:rowOff>104775</xdr:rowOff>
    </xdr:from>
    <xdr:to>
      <xdr:col>9</xdr:col>
      <xdr:colOff>189357</xdr:colOff>
      <xdr:row>62</xdr:row>
      <xdr:rowOff>130683</xdr:rowOff>
    </xdr:to>
    <xdr:sp macro="" textlink="">
      <xdr:nvSpPr>
        <xdr:cNvPr id="7" name="Seta para baixo 6"/>
        <xdr:cNvSpPr/>
      </xdr:nvSpPr>
      <xdr:spPr>
        <a:xfrm>
          <a:off x="5676900" y="104775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342900</xdr:colOff>
      <xdr:row>58</xdr:row>
      <xdr:rowOff>47625</xdr:rowOff>
    </xdr:from>
    <xdr:to>
      <xdr:col>14</xdr:col>
      <xdr:colOff>379857</xdr:colOff>
      <xdr:row>63</xdr:row>
      <xdr:rowOff>0</xdr:rowOff>
    </xdr:to>
    <xdr:sp macro="" textlink="">
      <xdr:nvSpPr>
        <xdr:cNvPr id="8" name="Seta para baixo 7"/>
        <xdr:cNvSpPr/>
      </xdr:nvSpPr>
      <xdr:spPr>
        <a:xfrm>
          <a:off x="8953500" y="10610850"/>
          <a:ext cx="484632" cy="904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952500</xdr:colOff>
      <xdr:row>21</xdr:row>
      <xdr:rowOff>190500</xdr:rowOff>
    </xdr:from>
    <xdr:to>
      <xdr:col>3</xdr:col>
      <xdr:colOff>219075</xdr:colOff>
      <xdr:row>27</xdr:row>
      <xdr:rowOff>0</xdr:rowOff>
    </xdr:to>
    <xdr:sp macro="" textlink="">
      <xdr:nvSpPr>
        <xdr:cNvPr id="9" name="Seta para baixo 8"/>
        <xdr:cNvSpPr/>
      </xdr:nvSpPr>
      <xdr:spPr>
        <a:xfrm>
          <a:off x="1943100" y="6305550"/>
          <a:ext cx="504825" cy="1266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809625</xdr:colOff>
      <xdr:row>21</xdr:row>
      <xdr:rowOff>200026</xdr:rowOff>
    </xdr:from>
    <xdr:to>
      <xdr:col>8</xdr:col>
      <xdr:colOff>95250</xdr:colOff>
      <xdr:row>27</xdr:row>
      <xdr:rowOff>1</xdr:rowOff>
    </xdr:to>
    <xdr:sp macro="" textlink="">
      <xdr:nvSpPr>
        <xdr:cNvPr id="10" name="Seta para baixo 9"/>
        <xdr:cNvSpPr/>
      </xdr:nvSpPr>
      <xdr:spPr>
        <a:xfrm>
          <a:off x="5619750" y="6315076"/>
          <a:ext cx="504825" cy="1257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790575</xdr:colOff>
      <xdr:row>21</xdr:row>
      <xdr:rowOff>171451</xdr:rowOff>
    </xdr:from>
    <xdr:to>
      <xdr:col>13</xdr:col>
      <xdr:colOff>114299</xdr:colOff>
      <xdr:row>26</xdr:row>
      <xdr:rowOff>152401</xdr:rowOff>
    </xdr:to>
    <xdr:sp macro="" textlink="">
      <xdr:nvSpPr>
        <xdr:cNvPr id="11" name="Seta para baixo 10"/>
        <xdr:cNvSpPr/>
      </xdr:nvSpPr>
      <xdr:spPr>
        <a:xfrm>
          <a:off x="8801100" y="6286501"/>
          <a:ext cx="495299" cy="1238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5</xdr:col>
      <xdr:colOff>123825</xdr:colOff>
      <xdr:row>3</xdr:row>
      <xdr:rowOff>19050</xdr:rowOff>
    </xdr:to>
    <xdr:pic>
      <xdr:nvPicPr>
        <xdr:cNvPr id="2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3819525" cy="6953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38101</xdr:colOff>
      <xdr:row>88</xdr:row>
      <xdr:rowOff>66675</xdr:rowOff>
    </xdr:from>
    <xdr:to>
      <xdr:col>3</xdr:col>
      <xdr:colOff>590551</xdr:colOff>
      <xdr:row>93</xdr:row>
      <xdr:rowOff>92583</xdr:rowOff>
    </xdr:to>
    <xdr:sp macro="" textlink="">
      <xdr:nvSpPr>
        <xdr:cNvPr id="3" name="Seta para baixo 2"/>
        <xdr:cNvSpPr/>
      </xdr:nvSpPr>
      <xdr:spPr>
        <a:xfrm>
          <a:off x="2266951" y="18154650"/>
          <a:ext cx="5524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228600</xdr:colOff>
      <xdr:row>88</xdr:row>
      <xdr:rowOff>66675</xdr:rowOff>
    </xdr:from>
    <xdr:to>
      <xdr:col>9</xdr:col>
      <xdr:colOff>351282</xdr:colOff>
      <xdr:row>93</xdr:row>
      <xdr:rowOff>92583</xdr:rowOff>
    </xdr:to>
    <xdr:sp macro="" textlink="">
      <xdr:nvSpPr>
        <xdr:cNvPr id="4" name="Seta para baixo 3"/>
        <xdr:cNvSpPr/>
      </xdr:nvSpPr>
      <xdr:spPr>
        <a:xfrm>
          <a:off x="6257925" y="181546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14</xdr:col>
      <xdr:colOff>0</xdr:colOff>
      <xdr:row>88</xdr:row>
      <xdr:rowOff>66675</xdr:rowOff>
    </xdr:from>
    <xdr:to>
      <xdr:col>14</xdr:col>
      <xdr:colOff>484632</xdr:colOff>
      <xdr:row>93</xdr:row>
      <xdr:rowOff>92583</xdr:rowOff>
    </xdr:to>
    <xdr:sp macro="" textlink="">
      <xdr:nvSpPr>
        <xdr:cNvPr id="5" name="Seta para baixo 4"/>
        <xdr:cNvSpPr/>
      </xdr:nvSpPr>
      <xdr:spPr>
        <a:xfrm>
          <a:off x="9629775" y="181546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1143001</xdr:colOff>
      <xdr:row>57</xdr:row>
      <xdr:rowOff>66675</xdr:rowOff>
    </xdr:from>
    <xdr:to>
      <xdr:col>3</xdr:col>
      <xdr:colOff>400050</xdr:colOff>
      <xdr:row>62</xdr:row>
      <xdr:rowOff>76200</xdr:rowOff>
    </xdr:to>
    <xdr:sp macro="" textlink="">
      <xdr:nvSpPr>
        <xdr:cNvPr id="6" name="Seta para baixo 5"/>
        <xdr:cNvSpPr/>
      </xdr:nvSpPr>
      <xdr:spPr>
        <a:xfrm>
          <a:off x="2133601" y="12106275"/>
          <a:ext cx="495299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66675</xdr:colOff>
      <xdr:row>57</xdr:row>
      <xdr:rowOff>104775</xdr:rowOff>
    </xdr:from>
    <xdr:to>
      <xdr:col>9</xdr:col>
      <xdr:colOff>189357</xdr:colOff>
      <xdr:row>62</xdr:row>
      <xdr:rowOff>130683</xdr:rowOff>
    </xdr:to>
    <xdr:sp macro="" textlink="">
      <xdr:nvSpPr>
        <xdr:cNvPr id="7" name="Seta para baixo 6"/>
        <xdr:cNvSpPr/>
      </xdr:nvSpPr>
      <xdr:spPr>
        <a:xfrm>
          <a:off x="6096000" y="121443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361950</xdr:colOff>
      <xdr:row>57</xdr:row>
      <xdr:rowOff>66675</xdr:rowOff>
    </xdr:from>
    <xdr:to>
      <xdr:col>14</xdr:col>
      <xdr:colOff>398907</xdr:colOff>
      <xdr:row>62</xdr:row>
      <xdr:rowOff>171450</xdr:rowOff>
    </xdr:to>
    <xdr:sp macro="" textlink="">
      <xdr:nvSpPr>
        <xdr:cNvPr id="8" name="Seta para baixo 7"/>
        <xdr:cNvSpPr/>
      </xdr:nvSpPr>
      <xdr:spPr>
        <a:xfrm>
          <a:off x="9544050" y="13201650"/>
          <a:ext cx="484632" cy="1057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952500</xdr:colOff>
      <xdr:row>21</xdr:row>
      <xdr:rowOff>66675</xdr:rowOff>
    </xdr:from>
    <xdr:to>
      <xdr:col>3</xdr:col>
      <xdr:colOff>219075</xdr:colOff>
      <xdr:row>27</xdr:row>
      <xdr:rowOff>0</xdr:rowOff>
    </xdr:to>
    <xdr:sp macro="" textlink="">
      <xdr:nvSpPr>
        <xdr:cNvPr id="9" name="Seta para baixo 8"/>
        <xdr:cNvSpPr/>
      </xdr:nvSpPr>
      <xdr:spPr>
        <a:xfrm>
          <a:off x="1943100" y="6419850"/>
          <a:ext cx="504825" cy="1266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809625</xdr:colOff>
      <xdr:row>21</xdr:row>
      <xdr:rowOff>28575</xdr:rowOff>
    </xdr:from>
    <xdr:to>
      <xdr:col>8</xdr:col>
      <xdr:colOff>95250</xdr:colOff>
      <xdr:row>27</xdr:row>
      <xdr:rowOff>0</xdr:rowOff>
    </xdr:to>
    <xdr:sp macro="" textlink="">
      <xdr:nvSpPr>
        <xdr:cNvPr id="10" name="Seta para baixo 9"/>
        <xdr:cNvSpPr/>
      </xdr:nvSpPr>
      <xdr:spPr>
        <a:xfrm>
          <a:off x="5619750" y="6381750"/>
          <a:ext cx="504825" cy="1304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790575</xdr:colOff>
      <xdr:row>21</xdr:row>
      <xdr:rowOff>57150</xdr:rowOff>
    </xdr:from>
    <xdr:to>
      <xdr:col>13</xdr:col>
      <xdr:colOff>114299</xdr:colOff>
      <xdr:row>26</xdr:row>
      <xdr:rowOff>152400</xdr:rowOff>
    </xdr:to>
    <xdr:sp macro="" textlink="">
      <xdr:nvSpPr>
        <xdr:cNvPr id="11" name="Seta para baixo 10"/>
        <xdr:cNvSpPr/>
      </xdr:nvSpPr>
      <xdr:spPr>
        <a:xfrm>
          <a:off x="8801100" y="6410325"/>
          <a:ext cx="495299" cy="12287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57151</xdr:rowOff>
    </xdr:from>
    <xdr:to>
      <xdr:col>4</xdr:col>
      <xdr:colOff>933450</xdr:colOff>
      <xdr:row>3</xdr:row>
      <xdr:rowOff>114511</xdr:rowOff>
    </xdr:to>
    <xdr:pic>
      <xdr:nvPicPr>
        <xdr:cNvPr id="2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1"/>
          <a:ext cx="3314700" cy="705060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  <xdr:twoCellAnchor editAs="oneCell">
    <xdr:from>
      <xdr:col>0</xdr:col>
      <xdr:colOff>38100</xdr:colOff>
      <xdr:row>25</xdr:row>
      <xdr:rowOff>9525</xdr:rowOff>
    </xdr:from>
    <xdr:to>
      <xdr:col>6</xdr:col>
      <xdr:colOff>409575</xdr:colOff>
      <xdr:row>43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153150"/>
          <a:ext cx="4572000" cy="3429000"/>
        </a:xfrm>
        <a:prstGeom prst="rect">
          <a:avLst/>
        </a:prstGeom>
      </xdr:spPr>
    </xdr:pic>
    <xdr:clientData/>
  </xdr:twoCellAnchor>
  <xdr:twoCellAnchor editAs="oneCell">
    <xdr:from>
      <xdr:col>8</xdr:col>
      <xdr:colOff>790575</xdr:colOff>
      <xdr:row>24</xdr:row>
      <xdr:rowOff>57150</xdr:rowOff>
    </xdr:from>
    <xdr:to>
      <xdr:col>16</xdr:col>
      <xdr:colOff>257175</xdr:colOff>
      <xdr:row>42</xdr:row>
      <xdr:rowOff>57150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7450" y="5953125"/>
          <a:ext cx="4572000" cy="3429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44</xdr:row>
      <xdr:rowOff>161925</xdr:rowOff>
    </xdr:from>
    <xdr:to>
      <xdr:col>16</xdr:col>
      <xdr:colOff>381000</xdr:colOff>
      <xdr:row>62</xdr:row>
      <xdr:rowOff>161925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38900" y="9867900"/>
          <a:ext cx="4572000" cy="3429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4</xdr:col>
      <xdr:colOff>95250</xdr:colOff>
      <xdr:row>2</xdr:row>
      <xdr:rowOff>38100</xdr:rowOff>
    </xdr:to>
    <xdr:pic>
      <xdr:nvPicPr>
        <xdr:cNvPr id="2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3819525" cy="6953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38101</xdr:colOff>
      <xdr:row>76</xdr:row>
      <xdr:rowOff>66675</xdr:rowOff>
    </xdr:from>
    <xdr:to>
      <xdr:col>3</xdr:col>
      <xdr:colOff>590551</xdr:colOff>
      <xdr:row>81</xdr:row>
      <xdr:rowOff>92583</xdr:rowOff>
    </xdr:to>
    <xdr:sp macro="" textlink="">
      <xdr:nvSpPr>
        <xdr:cNvPr id="3" name="Seta para baixo 2"/>
        <xdr:cNvSpPr/>
      </xdr:nvSpPr>
      <xdr:spPr>
        <a:xfrm>
          <a:off x="2266951" y="18592800"/>
          <a:ext cx="5524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228600</xdr:colOff>
      <xdr:row>76</xdr:row>
      <xdr:rowOff>66675</xdr:rowOff>
    </xdr:from>
    <xdr:to>
      <xdr:col>9</xdr:col>
      <xdr:colOff>351282</xdr:colOff>
      <xdr:row>81</xdr:row>
      <xdr:rowOff>92583</xdr:rowOff>
    </xdr:to>
    <xdr:sp macro="" textlink="">
      <xdr:nvSpPr>
        <xdr:cNvPr id="4" name="Seta para baixo 3"/>
        <xdr:cNvSpPr/>
      </xdr:nvSpPr>
      <xdr:spPr>
        <a:xfrm>
          <a:off x="6257925" y="185928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14</xdr:col>
      <xdr:colOff>0</xdr:colOff>
      <xdr:row>76</xdr:row>
      <xdr:rowOff>66675</xdr:rowOff>
    </xdr:from>
    <xdr:to>
      <xdr:col>14</xdr:col>
      <xdr:colOff>484632</xdr:colOff>
      <xdr:row>81</xdr:row>
      <xdr:rowOff>92583</xdr:rowOff>
    </xdr:to>
    <xdr:sp macro="" textlink="">
      <xdr:nvSpPr>
        <xdr:cNvPr id="5" name="Seta para baixo 4"/>
        <xdr:cNvSpPr/>
      </xdr:nvSpPr>
      <xdr:spPr>
        <a:xfrm>
          <a:off x="9629775" y="185928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1143001</xdr:colOff>
      <xdr:row>47</xdr:row>
      <xdr:rowOff>66675</xdr:rowOff>
    </xdr:from>
    <xdr:to>
      <xdr:col>3</xdr:col>
      <xdr:colOff>400050</xdr:colOff>
      <xdr:row>52</xdr:row>
      <xdr:rowOff>76200</xdr:rowOff>
    </xdr:to>
    <xdr:sp macro="" textlink="">
      <xdr:nvSpPr>
        <xdr:cNvPr id="6" name="Seta para baixo 5"/>
        <xdr:cNvSpPr/>
      </xdr:nvSpPr>
      <xdr:spPr>
        <a:xfrm>
          <a:off x="2133601" y="12315825"/>
          <a:ext cx="495299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66675</xdr:colOff>
      <xdr:row>47</xdr:row>
      <xdr:rowOff>104775</xdr:rowOff>
    </xdr:from>
    <xdr:to>
      <xdr:col>9</xdr:col>
      <xdr:colOff>189357</xdr:colOff>
      <xdr:row>52</xdr:row>
      <xdr:rowOff>130683</xdr:rowOff>
    </xdr:to>
    <xdr:sp macro="" textlink="">
      <xdr:nvSpPr>
        <xdr:cNvPr id="7" name="Seta para baixo 6"/>
        <xdr:cNvSpPr/>
      </xdr:nvSpPr>
      <xdr:spPr>
        <a:xfrm>
          <a:off x="6096000" y="123539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361950</xdr:colOff>
      <xdr:row>47</xdr:row>
      <xdr:rowOff>66675</xdr:rowOff>
    </xdr:from>
    <xdr:to>
      <xdr:col>14</xdr:col>
      <xdr:colOff>398907</xdr:colOff>
      <xdr:row>52</xdr:row>
      <xdr:rowOff>171450</xdr:rowOff>
    </xdr:to>
    <xdr:sp macro="" textlink="">
      <xdr:nvSpPr>
        <xdr:cNvPr id="8" name="Seta para baixo 7"/>
        <xdr:cNvSpPr/>
      </xdr:nvSpPr>
      <xdr:spPr>
        <a:xfrm>
          <a:off x="9544050" y="12315825"/>
          <a:ext cx="484632" cy="1057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952500</xdr:colOff>
      <xdr:row>21</xdr:row>
      <xdr:rowOff>66675</xdr:rowOff>
    </xdr:from>
    <xdr:to>
      <xdr:col>3</xdr:col>
      <xdr:colOff>219075</xdr:colOff>
      <xdr:row>27</xdr:row>
      <xdr:rowOff>0</xdr:rowOff>
    </xdr:to>
    <xdr:sp macro="" textlink="">
      <xdr:nvSpPr>
        <xdr:cNvPr id="9" name="Seta para baixo 8"/>
        <xdr:cNvSpPr/>
      </xdr:nvSpPr>
      <xdr:spPr>
        <a:xfrm>
          <a:off x="1943100" y="5314950"/>
          <a:ext cx="504825" cy="1200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809625</xdr:colOff>
      <xdr:row>21</xdr:row>
      <xdr:rowOff>28575</xdr:rowOff>
    </xdr:from>
    <xdr:to>
      <xdr:col>8</xdr:col>
      <xdr:colOff>95250</xdr:colOff>
      <xdr:row>27</xdr:row>
      <xdr:rowOff>0</xdr:rowOff>
    </xdr:to>
    <xdr:sp macro="" textlink="">
      <xdr:nvSpPr>
        <xdr:cNvPr id="10" name="Seta para baixo 9"/>
        <xdr:cNvSpPr/>
      </xdr:nvSpPr>
      <xdr:spPr>
        <a:xfrm>
          <a:off x="5619750" y="5276850"/>
          <a:ext cx="504825" cy="1238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790575</xdr:colOff>
      <xdr:row>21</xdr:row>
      <xdr:rowOff>57150</xdr:rowOff>
    </xdr:from>
    <xdr:to>
      <xdr:col>13</xdr:col>
      <xdr:colOff>114299</xdr:colOff>
      <xdr:row>26</xdr:row>
      <xdr:rowOff>152400</xdr:rowOff>
    </xdr:to>
    <xdr:sp macro="" textlink="">
      <xdr:nvSpPr>
        <xdr:cNvPr id="11" name="Seta para baixo 10"/>
        <xdr:cNvSpPr/>
      </xdr:nvSpPr>
      <xdr:spPr>
        <a:xfrm>
          <a:off x="8801100" y="5305425"/>
          <a:ext cx="495299" cy="1162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457199</xdr:colOff>
      <xdr:row>80</xdr:row>
      <xdr:rowOff>180975</xdr:rowOff>
    </xdr:from>
    <xdr:to>
      <xdr:col>12</xdr:col>
      <xdr:colOff>228600</xdr:colOff>
      <xdr:row>86</xdr:row>
      <xdr:rowOff>16383</xdr:rowOff>
    </xdr:to>
    <xdr:sp macro="" textlink="">
      <xdr:nvSpPr>
        <xdr:cNvPr id="2" name="Seta para baixo 1"/>
        <xdr:cNvSpPr/>
      </xdr:nvSpPr>
      <xdr:spPr>
        <a:xfrm>
          <a:off x="8143874" y="17535525"/>
          <a:ext cx="381001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504824</xdr:colOff>
      <xdr:row>80</xdr:row>
      <xdr:rowOff>66675</xdr:rowOff>
    </xdr:from>
    <xdr:to>
      <xdr:col>2</xdr:col>
      <xdr:colOff>351281</xdr:colOff>
      <xdr:row>85</xdr:row>
      <xdr:rowOff>92583</xdr:rowOff>
    </xdr:to>
    <xdr:sp macro="" textlink="">
      <xdr:nvSpPr>
        <xdr:cNvPr id="3" name="Seta para baixo 2"/>
        <xdr:cNvSpPr/>
      </xdr:nvSpPr>
      <xdr:spPr>
        <a:xfrm>
          <a:off x="1428749" y="17421225"/>
          <a:ext cx="456057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0</xdr:colOff>
      <xdr:row>80</xdr:row>
      <xdr:rowOff>66675</xdr:rowOff>
    </xdr:from>
    <xdr:to>
      <xdr:col>7</xdr:col>
      <xdr:colOff>484632</xdr:colOff>
      <xdr:row>85</xdr:row>
      <xdr:rowOff>92583</xdr:rowOff>
    </xdr:to>
    <xdr:sp macro="" textlink="">
      <xdr:nvSpPr>
        <xdr:cNvPr id="4" name="Seta para baixo 3"/>
        <xdr:cNvSpPr/>
      </xdr:nvSpPr>
      <xdr:spPr>
        <a:xfrm>
          <a:off x="4972050" y="174212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171451</xdr:colOff>
      <xdr:row>51</xdr:row>
      <xdr:rowOff>57150</xdr:rowOff>
    </xdr:from>
    <xdr:to>
      <xdr:col>12</xdr:col>
      <xdr:colOff>571500</xdr:colOff>
      <xdr:row>56</xdr:row>
      <xdr:rowOff>66675</xdr:rowOff>
    </xdr:to>
    <xdr:sp macro="" textlink="">
      <xdr:nvSpPr>
        <xdr:cNvPr id="5" name="Seta para baixo 4"/>
        <xdr:cNvSpPr/>
      </xdr:nvSpPr>
      <xdr:spPr>
        <a:xfrm>
          <a:off x="8467726" y="11458575"/>
          <a:ext cx="400049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304799</xdr:colOff>
      <xdr:row>51</xdr:row>
      <xdr:rowOff>104775</xdr:rowOff>
    </xdr:from>
    <xdr:to>
      <xdr:col>2</xdr:col>
      <xdr:colOff>189356</xdr:colOff>
      <xdr:row>56</xdr:row>
      <xdr:rowOff>130683</xdr:rowOff>
    </xdr:to>
    <xdr:sp macro="" textlink="">
      <xdr:nvSpPr>
        <xdr:cNvPr id="6" name="Seta para baixo 5"/>
        <xdr:cNvSpPr/>
      </xdr:nvSpPr>
      <xdr:spPr>
        <a:xfrm>
          <a:off x="1228724" y="11506200"/>
          <a:ext cx="494157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552450</xdr:colOff>
      <xdr:row>51</xdr:row>
      <xdr:rowOff>66675</xdr:rowOff>
    </xdr:from>
    <xdr:to>
      <xdr:col>7</xdr:col>
      <xdr:colOff>398907</xdr:colOff>
      <xdr:row>56</xdr:row>
      <xdr:rowOff>171450</xdr:rowOff>
    </xdr:to>
    <xdr:sp macro="" textlink="">
      <xdr:nvSpPr>
        <xdr:cNvPr id="7" name="Seta para baixo 6"/>
        <xdr:cNvSpPr/>
      </xdr:nvSpPr>
      <xdr:spPr>
        <a:xfrm>
          <a:off x="4914900" y="11468100"/>
          <a:ext cx="456057" cy="1057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47625</xdr:colOff>
      <xdr:row>22</xdr:row>
      <xdr:rowOff>95250</xdr:rowOff>
    </xdr:from>
    <xdr:to>
      <xdr:col>11</xdr:col>
      <xdr:colOff>409575</xdr:colOff>
      <xdr:row>27</xdr:row>
      <xdr:rowOff>57150</xdr:rowOff>
    </xdr:to>
    <xdr:sp macro="" textlink="">
      <xdr:nvSpPr>
        <xdr:cNvPr id="8" name="Seta para baixo 7"/>
        <xdr:cNvSpPr/>
      </xdr:nvSpPr>
      <xdr:spPr>
        <a:xfrm>
          <a:off x="7734300" y="5076825"/>
          <a:ext cx="361950" cy="1028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438150</xdr:colOff>
      <xdr:row>21</xdr:row>
      <xdr:rowOff>123825</xdr:rowOff>
    </xdr:from>
    <xdr:to>
      <xdr:col>0</xdr:col>
      <xdr:colOff>771525</xdr:colOff>
      <xdr:row>27</xdr:row>
      <xdr:rowOff>28575</xdr:rowOff>
    </xdr:to>
    <xdr:sp macro="" textlink="">
      <xdr:nvSpPr>
        <xdr:cNvPr id="9" name="Seta para baixo 8"/>
        <xdr:cNvSpPr/>
      </xdr:nvSpPr>
      <xdr:spPr>
        <a:xfrm>
          <a:off x="438150" y="4838700"/>
          <a:ext cx="333375" cy="1238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657224</xdr:colOff>
      <xdr:row>21</xdr:row>
      <xdr:rowOff>152400</xdr:rowOff>
    </xdr:from>
    <xdr:to>
      <xdr:col>6</xdr:col>
      <xdr:colOff>114298</xdr:colOff>
      <xdr:row>26</xdr:row>
      <xdr:rowOff>152400</xdr:rowOff>
    </xdr:to>
    <xdr:sp macro="" textlink="">
      <xdr:nvSpPr>
        <xdr:cNvPr id="10" name="Seta para baixo 9"/>
        <xdr:cNvSpPr/>
      </xdr:nvSpPr>
      <xdr:spPr>
        <a:xfrm>
          <a:off x="4752974" y="3067050"/>
          <a:ext cx="361949" cy="1133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276225</xdr:colOff>
      <xdr:row>0</xdr:row>
      <xdr:rowOff>180975</xdr:rowOff>
    </xdr:from>
    <xdr:to>
      <xdr:col>3</xdr:col>
      <xdr:colOff>904875</xdr:colOff>
      <xdr:row>3</xdr:row>
      <xdr:rowOff>123825</xdr:rowOff>
    </xdr:to>
    <xdr:pic>
      <xdr:nvPicPr>
        <xdr:cNvPr id="11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3829050" cy="6953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5</xdr:col>
      <xdr:colOff>209550</xdr:colOff>
      <xdr:row>3</xdr:row>
      <xdr:rowOff>123571</xdr:rowOff>
    </xdr:to>
    <xdr:pic>
      <xdr:nvPicPr>
        <xdr:cNvPr id="2" name="Picture 7" descr="http://fazendatriqueda.com.br/wp-includes/images/a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3619500" cy="70459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%20leo/1%20-%20curso%20de%20verao%20machado/1-palestra%20leo/outros/3%20-%20Palestra%20Avalia&#231;&#227;o%20de%20Ativos%20Florestais%20-%20le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apoio informacoes"/>
      <sheetName val="analise financ ciclo curto"/>
      <sheetName val="analise financ ciclo longo 1111"/>
      <sheetName val="analise financ ciclo longo 816"/>
      <sheetName val="decisões de investimento"/>
      <sheetName val="Habib´s x madeira"/>
    </sheetNames>
    <sheetDataSet>
      <sheetData sheetId="0"/>
      <sheetData sheetId="1"/>
      <sheetData sheetId="2"/>
      <sheetData sheetId="3"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4050</v>
          </cell>
        </row>
        <row r="41">
          <cell r="P41">
            <v>-1500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60000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4050</v>
          </cell>
        </row>
        <row r="107">
          <cell r="P107">
            <v>-1500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60000</v>
          </cell>
        </row>
      </sheetData>
      <sheetData sheetId="4"/>
      <sheetData sheetId="5">
        <row r="32">
          <cell r="U32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opLeftCell="A49" zoomScale="110" zoomScaleNormal="110" workbookViewId="0">
      <selection activeCell="O69" sqref="O69"/>
    </sheetView>
  </sheetViews>
  <sheetFormatPr defaultRowHeight="15"/>
  <cols>
    <col min="1" max="1" width="13.28515625" style="1" bestFit="1" customWidth="1"/>
    <col min="2" max="2" width="18.5703125" style="1" customWidth="1"/>
    <col min="3" max="3" width="12" style="1" customWidth="1"/>
    <col min="4" max="4" width="9.5703125" style="1" customWidth="1"/>
    <col min="5" max="5" width="11.28515625" style="1" customWidth="1"/>
    <col min="6" max="6" width="3.28515625" style="1" customWidth="1"/>
    <col min="7" max="7" width="18.28515625" style="1" customWidth="1"/>
    <col min="8" max="8" width="5.42578125" style="1" customWidth="1"/>
    <col min="9" max="9" width="7" style="1" customWidth="1"/>
    <col min="10" max="10" width="12.42578125" style="2" customWidth="1"/>
    <col min="11" max="11" width="2.5703125" style="2" customWidth="1"/>
    <col min="12" max="12" width="17.5703125" style="2" customWidth="1"/>
    <col min="13" max="13" width="6.7109375" style="2" customWidth="1"/>
    <col min="14" max="14" width="10.140625" style="2" customWidth="1"/>
    <col min="15" max="15" width="11.85546875" style="2" customWidth="1"/>
    <col min="16" max="16384" width="9.140625" style="2"/>
  </cols>
  <sheetData>
    <row r="1" spans="1:19" ht="21">
      <c r="A1" s="35"/>
      <c r="B1" s="4"/>
      <c r="C1" s="27"/>
      <c r="D1" s="27"/>
      <c r="E1" s="27"/>
      <c r="F1" s="279" t="s">
        <v>32</v>
      </c>
      <c r="G1" s="279"/>
      <c r="H1" s="279"/>
      <c r="I1" s="279"/>
      <c r="J1" s="279"/>
      <c r="K1" s="279"/>
      <c r="L1" s="279"/>
      <c r="M1" s="279"/>
      <c r="N1" s="279"/>
      <c r="O1" s="279"/>
    </row>
    <row r="2" spans="1:19" ht="21">
      <c r="B2" s="2"/>
      <c r="Q2" s="26"/>
      <c r="R2" s="26"/>
    </row>
    <row r="3" spans="1:19" ht="15.75">
      <c r="A3" s="37"/>
      <c r="B3" s="4"/>
      <c r="C3" s="2"/>
      <c r="D3" s="2"/>
      <c r="E3" s="2"/>
      <c r="F3" s="2"/>
      <c r="H3" s="37"/>
      <c r="I3" s="4"/>
      <c r="K3" s="8"/>
      <c r="N3" s="4"/>
    </row>
    <row r="4" spans="1:19" ht="15.75">
      <c r="A4" s="37"/>
      <c r="B4" s="4"/>
      <c r="C4" s="2"/>
      <c r="D4" s="2"/>
      <c r="E4" s="2"/>
      <c r="F4" s="2"/>
      <c r="H4" s="37"/>
      <c r="I4" s="4"/>
      <c r="K4" s="8"/>
      <c r="N4" s="4"/>
    </row>
    <row r="5" spans="1:19" s="139" customFormat="1" ht="23.25">
      <c r="A5" s="273" t="s">
        <v>71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</row>
    <row r="6" spans="1:19" ht="19.5" customHeight="1">
      <c r="A6" s="37"/>
      <c r="B6" s="4"/>
      <c r="C6" s="2"/>
      <c r="D6" s="2"/>
      <c r="E6" s="2"/>
      <c r="F6" s="2"/>
      <c r="H6" s="37"/>
      <c r="I6" s="4"/>
      <c r="K6" s="8"/>
      <c r="N6" s="4"/>
    </row>
    <row r="7" spans="1:19" ht="18" customHeight="1">
      <c r="A7" s="271" t="s">
        <v>82</v>
      </c>
      <c r="B7" s="271" t="s">
        <v>154</v>
      </c>
      <c r="C7" s="271" t="s">
        <v>7</v>
      </c>
      <c r="D7" s="287" t="s">
        <v>31</v>
      </c>
      <c r="E7" s="288"/>
      <c r="F7" s="288"/>
      <c r="G7" s="288"/>
      <c r="H7" s="37"/>
      <c r="I7" s="4"/>
      <c r="K7" s="8"/>
      <c r="L7" s="282" t="s">
        <v>16</v>
      </c>
      <c r="M7" s="283"/>
      <c r="N7" s="284"/>
      <c r="O7" s="140" t="s">
        <v>63</v>
      </c>
      <c r="P7" s="263" t="s">
        <v>64</v>
      </c>
      <c r="Q7" s="263"/>
      <c r="R7" s="263"/>
      <c r="S7" s="263"/>
    </row>
    <row r="8" spans="1:19" s="8" customFormat="1" ht="27" customHeight="1">
      <c r="A8" s="272"/>
      <c r="B8" s="272"/>
      <c r="C8" s="272"/>
      <c r="D8" s="71" t="s">
        <v>8</v>
      </c>
      <c r="E8" s="285" t="s">
        <v>9</v>
      </c>
      <c r="F8" s="285"/>
      <c r="G8" s="54" t="s">
        <v>10</v>
      </c>
      <c r="H8" s="9"/>
      <c r="I8" s="9"/>
      <c r="L8" s="68"/>
      <c r="M8" s="69" t="s">
        <v>13</v>
      </c>
      <c r="N8" s="70"/>
      <c r="O8" s="141"/>
      <c r="P8" s="263" t="s">
        <v>65</v>
      </c>
      <c r="Q8" s="263"/>
      <c r="R8" s="263"/>
      <c r="S8" s="263"/>
    </row>
    <row r="9" spans="1:19" s="8" customFormat="1" ht="27" customHeight="1">
      <c r="A9" s="177" t="s">
        <v>83</v>
      </c>
      <c r="B9" s="237" t="s">
        <v>155</v>
      </c>
      <c r="C9" s="74">
        <f>'pl apoio informacoes'!M9*-1</f>
        <v>-5555.0000000000027</v>
      </c>
      <c r="D9" s="75">
        <f>'pl apoio informacoes'!R9</f>
        <v>250</v>
      </c>
      <c r="E9" s="286">
        <f>D9*90%</f>
        <v>225</v>
      </c>
      <c r="F9" s="286"/>
      <c r="G9" s="75">
        <f>E9*90%</f>
        <v>202.5</v>
      </c>
      <c r="H9" s="9"/>
      <c r="I9" s="9"/>
      <c r="L9" s="71" t="s">
        <v>11</v>
      </c>
      <c r="M9" s="71" t="s">
        <v>14</v>
      </c>
      <c r="N9" s="72">
        <v>27</v>
      </c>
      <c r="O9" s="141"/>
      <c r="P9" s="263" t="s">
        <v>66</v>
      </c>
      <c r="Q9" s="263"/>
      <c r="R9" s="263"/>
      <c r="S9" s="263"/>
    </row>
    <row r="10" spans="1:19" s="8" customFormat="1" ht="27" customHeight="1">
      <c r="A10" s="76" t="s">
        <v>84</v>
      </c>
      <c r="B10" s="237" t="s">
        <v>155</v>
      </c>
      <c r="C10" s="74">
        <f>'pl apoio informacoes'!M13*-1</f>
        <v>-6666.0000000000009</v>
      </c>
      <c r="D10" s="75">
        <f>'pl apoio informacoes'!R13</f>
        <v>350</v>
      </c>
      <c r="E10" s="286">
        <f t="shared" ref="E10" si="0">D10*90%</f>
        <v>315</v>
      </c>
      <c r="F10" s="286"/>
      <c r="G10" s="75">
        <f>E10*90%</f>
        <v>283.5</v>
      </c>
      <c r="H10" s="9"/>
      <c r="I10" s="9"/>
      <c r="L10" s="54" t="s">
        <v>12</v>
      </c>
      <c r="M10" s="54" t="s">
        <v>15</v>
      </c>
      <c r="N10" s="73">
        <v>200</v>
      </c>
      <c r="O10" s="141"/>
      <c r="P10" s="263" t="s">
        <v>67</v>
      </c>
      <c r="Q10" s="263"/>
      <c r="R10" s="263"/>
      <c r="S10" s="263"/>
    </row>
    <row r="11" spans="1:19" s="8" customFormat="1" ht="27" customHeight="1">
      <c r="A11" s="77" t="s">
        <v>85</v>
      </c>
      <c r="B11" s="237" t="s">
        <v>155</v>
      </c>
      <c r="C11" s="74">
        <f>'pl apoio informacoes'!M17*-1</f>
        <v>-7777</v>
      </c>
      <c r="D11" s="75">
        <f>'pl apoio informacoes'!R17</f>
        <v>450</v>
      </c>
      <c r="E11" s="286">
        <f t="shared" ref="E11" si="1">D11*90%</f>
        <v>405</v>
      </c>
      <c r="F11" s="286"/>
      <c r="G11" s="75">
        <f>E11*90%</f>
        <v>364.5</v>
      </c>
      <c r="H11" s="9"/>
      <c r="I11" s="9"/>
      <c r="O11" s="141"/>
      <c r="P11" s="263" t="s">
        <v>68</v>
      </c>
      <c r="Q11" s="263"/>
      <c r="R11" s="263"/>
      <c r="S11" s="263"/>
    </row>
    <row r="12" spans="1:19" s="8" customFormat="1" ht="27" customHeight="1">
      <c r="A12" s="9"/>
      <c r="F12" s="9"/>
      <c r="G12" s="129"/>
      <c r="H12" s="9"/>
      <c r="I12" s="9"/>
      <c r="J12" s="129"/>
      <c r="O12" s="141"/>
      <c r="P12" s="263" t="s">
        <v>69</v>
      </c>
      <c r="Q12" s="263"/>
      <c r="R12" s="263"/>
      <c r="S12" s="263"/>
    </row>
    <row r="13" spans="1:19" s="8" customFormat="1" ht="27" customHeight="1">
      <c r="A13" s="9"/>
      <c r="F13" s="9"/>
      <c r="G13" s="129"/>
      <c r="H13" s="9"/>
      <c r="I13" s="9"/>
      <c r="J13" s="129"/>
      <c r="O13" s="141"/>
      <c r="P13" s="276" t="s">
        <v>74</v>
      </c>
      <c r="Q13" s="276"/>
      <c r="R13" s="276"/>
      <c r="S13" s="276"/>
    </row>
    <row r="14" spans="1:19" s="8" customFormat="1" ht="27" customHeight="1">
      <c r="A14" s="9"/>
      <c r="F14" s="9"/>
      <c r="G14" s="129"/>
      <c r="H14" s="9"/>
      <c r="I14" s="9"/>
      <c r="J14" s="129"/>
      <c r="O14" s="141"/>
      <c r="P14" s="276" t="s">
        <v>75</v>
      </c>
      <c r="Q14" s="276"/>
      <c r="R14" s="276"/>
      <c r="S14" s="276"/>
    </row>
    <row r="15" spans="1:19" s="8" customFormat="1" ht="27" customHeight="1">
      <c r="A15" s="9"/>
      <c r="F15" s="9"/>
      <c r="G15" s="9"/>
      <c r="H15" s="9"/>
      <c r="I15" s="9"/>
      <c r="O15" s="141"/>
      <c r="P15" s="141"/>
      <c r="Q15" s="141"/>
      <c r="R15" s="141"/>
      <c r="S15" s="141"/>
    </row>
    <row r="16" spans="1:19" s="8" customFormat="1" ht="27" customHeight="1">
      <c r="A16" s="9"/>
      <c r="F16" s="9"/>
      <c r="G16" s="9"/>
      <c r="H16" s="9"/>
      <c r="I16" s="9"/>
    </row>
    <row r="17" spans="1:16" s="8" customFormat="1" ht="27" customHeight="1">
      <c r="A17" s="9"/>
      <c r="F17" s="9"/>
      <c r="G17" s="9"/>
      <c r="H17" s="9"/>
      <c r="I17" s="9"/>
    </row>
    <row r="18" spans="1:16" s="8" customFormat="1" ht="27" customHeight="1">
      <c r="A18" s="9"/>
      <c r="F18" s="9"/>
      <c r="G18" s="9"/>
      <c r="H18" s="9"/>
      <c r="I18" s="9"/>
    </row>
    <row r="19" spans="1:16" s="8" customFormat="1" ht="27" customHeight="1">
      <c r="A19" s="9"/>
      <c r="F19" s="9"/>
      <c r="G19" s="9"/>
      <c r="H19" s="9"/>
      <c r="I19" s="9"/>
    </row>
    <row r="20" spans="1:16" s="8" customFormat="1" ht="27" customHeight="1">
      <c r="A20" s="264" t="s">
        <v>24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6"/>
    </row>
    <row r="21" spans="1:16" s="8" customFormat="1" ht="27" customHeight="1">
      <c r="A21" s="9"/>
      <c r="F21" s="9"/>
      <c r="G21" s="9"/>
      <c r="H21" s="9"/>
      <c r="I21" s="9"/>
    </row>
    <row r="22" spans="1:16" ht="24.75" customHeight="1">
      <c r="B22" s="260" t="s">
        <v>39</v>
      </c>
      <c r="C22" s="260"/>
      <c r="D22" s="260"/>
      <c r="E22" s="260"/>
      <c r="G22" s="261" t="s">
        <v>40</v>
      </c>
      <c r="H22" s="261"/>
      <c r="I22" s="261"/>
      <c r="J22" s="261"/>
      <c r="L22" s="262" t="s">
        <v>41</v>
      </c>
      <c r="M22" s="262"/>
      <c r="N22" s="262"/>
      <c r="O22" s="262"/>
    </row>
    <row r="23" spans="1:16" ht="15.75" customHeight="1">
      <c r="A23" s="33"/>
      <c r="B23" s="3" t="s">
        <v>17</v>
      </c>
      <c r="C23" s="3">
        <v>0</v>
      </c>
      <c r="D23" s="3">
        <v>2014</v>
      </c>
      <c r="E23" s="18">
        <f>C9</f>
        <v>-5555.0000000000027</v>
      </c>
      <c r="G23" s="3" t="s">
        <v>17</v>
      </c>
      <c r="H23" s="3">
        <v>0</v>
      </c>
      <c r="I23" s="3">
        <v>2014</v>
      </c>
      <c r="J23" s="18">
        <f>C10</f>
        <v>-6666.0000000000009</v>
      </c>
      <c r="L23" s="3" t="s">
        <v>17</v>
      </c>
      <c r="M23" s="3">
        <v>0</v>
      </c>
      <c r="N23" s="3">
        <v>2014</v>
      </c>
      <c r="O23" s="18">
        <f>C11</f>
        <v>-7777</v>
      </c>
    </row>
    <row r="24" spans="1:16" s="4" customFormat="1" ht="13.5" customHeight="1">
      <c r="A24" s="6"/>
      <c r="C24" s="5">
        <f>C23+1</f>
        <v>1</v>
      </c>
      <c r="D24" s="5">
        <f t="shared" ref="D24:D41" si="2">D23+1</f>
        <v>2015</v>
      </c>
      <c r="E24" s="44">
        <v>0</v>
      </c>
      <c r="F24" s="5"/>
      <c r="H24" s="5">
        <f>H23+1</f>
        <v>1</v>
      </c>
      <c r="I24" s="5">
        <f t="shared" ref="I24:I42" si="3">I23+1</f>
        <v>2015</v>
      </c>
      <c r="J24" s="44">
        <v>0</v>
      </c>
      <c r="M24" s="5">
        <f>M23+1</f>
        <v>1</v>
      </c>
      <c r="N24" s="5">
        <f t="shared" ref="N24:N42" si="4">N23+1</f>
        <v>2015</v>
      </c>
      <c r="O24" s="44">
        <v>0</v>
      </c>
    </row>
    <row r="25" spans="1:16" s="4" customFormat="1" ht="13.5" customHeight="1">
      <c r="A25" s="6"/>
      <c r="C25" s="5">
        <f t="shared" ref="C25:C41" si="5">C24+1</f>
        <v>2</v>
      </c>
      <c r="D25" s="5">
        <f t="shared" si="2"/>
        <v>2016</v>
      </c>
      <c r="E25" s="44">
        <v>0</v>
      </c>
      <c r="F25" s="45"/>
      <c r="H25" s="5">
        <f t="shared" ref="H25:H42" si="6">H24+1</f>
        <v>2</v>
      </c>
      <c r="I25" s="5">
        <f t="shared" si="3"/>
        <v>2016</v>
      </c>
      <c r="J25" s="44">
        <v>0</v>
      </c>
      <c r="M25" s="5">
        <f t="shared" ref="M25:M42" si="7">M24+1</f>
        <v>2</v>
      </c>
      <c r="N25" s="5">
        <f t="shared" si="4"/>
        <v>2016</v>
      </c>
      <c r="O25" s="44">
        <v>0</v>
      </c>
    </row>
    <row r="26" spans="1:16" s="4" customFormat="1" ht="13.5" customHeight="1">
      <c r="A26" s="6"/>
      <c r="C26" s="5">
        <f t="shared" si="5"/>
        <v>3</v>
      </c>
      <c r="D26" s="5">
        <f t="shared" si="2"/>
        <v>2017</v>
      </c>
      <c r="E26" s="44">
        <v>0</v>
      </c>
      <c r="F26" s="45"/>
      <c r="H26" s="5">
        <f t="shared" si="6"/>
        <v>3</v>
      </c>
      <c r="I26" s="5">
        <f t="shared" si="3"/>
        <v>2017</v>
      </c>
      <c r="J26" s="44">
        <v>0</v>
      </c>
      <c r="M26" s="5">
        <f t="shared" si="7"/>
        <v>3</v>
      </c>
      <c r="N26" s="5">
        <f t="shared" si="4"/>
        <v>2017</v>
      </c>
      <c r="O26" s="44">
        <v>0</v>
      </c>
    </row>
    <row r="27" spans="1:16" s="4" customFormat="1" ht="13.5" customHeight="1">
      <c r="A27" s="6"/>
      <c r="C27" s="5">
        <f t="shared" si="5"/>
        <v>4</v>
      </c>
      <c r="D27" s="5">
        <f t="shared" si="2"/>
        <v>2018</v>
      </c>
      <c r="E27" s="44">
        <v>0</v>
      </c>
      <c r="F27" s="45"/>
      <c r="H27" s="5">
        <f t="shared" si="6"/>
        <v>4</v>
      </c>
      <c r="I27" s="5">
        <f t="shared" si="3"/>
        <v>2018</v>
      </c>
      <c r="J27" s="44">
        <v>0</v>
      </c>
      <c r="M27" s="5">
        <f t="shared" si="7"/>
        <v>4</v>
      </c>
      <c r="N27" s="5">
        <f t="shared" si="4"/>
        <v>2018</v>
      </c>
      <c r="O27" s="44">
        <v>0</v>
      </c>
    </row>
    <row r="28" spans="1:16" s="4" customFormat="1" ht="13.5" customHeight="1">
      <c r="A28" s="5"/>
      <c r="C28" s="5">
        <f t="shared" si="5"/>
        <v>5</v>
      </c>
      <c r="D28" s="5">
        <f t="shared" si="2"/>
        <v>2019</v>
      </c>
      <c r="E28" s="44">
        <v>0</v>
      </c>
      <c r="F28" s="5"/>
      <c r="H28" s="5">
        <f t="shared" si="6"/>
        <v>5</v>
      </c>
      <c r="I28" s="5">
        <f t="shared" si="3"/>
        <v>2019</v>
      </c>
      <c r="J28" s="44">
        <v>0</v>
      </c>
      <c r="M28" s="5">
        <f t="shared" si="7"/>
        <v>5</v>
      </c>
      <c r="N28" s="5">
        <f t="shared" si="4"/>
        <v>2019</v>
      </c>
      <c r="O28" s="44">
        <v>0</v>
      </c>
    </row>
    <row r="29" spans="1:16" s="4" customFormat="1" ht="15.75" customHeight="1">
      <c r="A29" s="5"/>
      <c r="B29" s="3" t="s">
        <v>101</v>
      </c>
      <c r="C29" s="50">
        <f t="shared" si="5"/>
        <v>6</v>
      </c>
      <c r="D29" s="50">
        <f t="shared" si="2"/>
        <v>2020</v>
      </c>
      <c r="E29" s="51">
        <f>D9*N9</f>
        <v>6750</v>
      </c>
      <c r="F29" s="13"/>
      <c r="G29" s="50" t="s">
        <v>8</v>
      </c>
      <c r="H29" s="50">
        <f t="shared" si="6"/>
        <v>6</v>
      </c>
      <c r="I29" s="50">
        <f t="shared" si="3"/>
        <v>2020</v>
      </c>
      <c r="J29" s="51">
        <f>D10*N9</f>
        <v>9450</v>
      </c>
      <c r="K29" s="52"/>
      <c r="L29" s="3" t="s">
        <v>101</v>
      </c>
      <c r="M29" s="50">
        <f t="shared" si="7"/>
        <v>6</v>
      </c>
      <c r="N29" s="50">
        <f t="shared" si="4"/>
        <v>2020</v>
      </c>
      <c r="O29" s="51">
        <f>D11*N9</f>
        <v>12150</v>
      </c>
    </row>
    <row r="30" spans="1:16" s="4" customFormat="1" ht="13.5" customHeight="1">
      <c r="A30" s="5"/>
      <c r="B30" s="13" t="s">
        <v>18</v>
      </c>
      <c r="C30" s="13">
        <f t="shared" si="5"/>
        <v>7</v>
      </c>
      <c r="D30" s="13">
        <f t="shared" si="2"/>
        <v>2021</v>
      </c>
      <c r="E30" s="53">
        <v>-1500</v>
      </c>
      <c r="F30" s="13"/>
      <c r="G30" s="13" t="s">
        <v>18</v>
      </c>
      <c r="H30" s="13">
        <f t="shared" si="6"/>
        <v>7</v>
      </c>
      <c r="I30" s="13">
        <f t="shared" si="3"/>
        <v>2021</v>
      </c>
      <c r="J30" s="53">
        <v>-1500</v>
      </c>
      <c r="K30" s="52"/>
      <c r="L30" s="13" t="s">
        <v>18</v>
      </c>
      <c r="M30" s="13">
        <f t="shared" si="7"/>
        <v>7</v>
      </c>
      <c r="N30" s="13">
        <f t="shared" si="4"/>
        <v>2021</v>
      </c>
      <c r="O30" s="53">
        <v>-1500</v>
      </c>
    </row>
    <row r="31" spans="1:16" s="4" customFormat="1" ht="13.5" customHeight="1">
      <c r="A31" s="5"/>
      <c r="B31" s="5"/>
      <c r="C31" s="5">
        <f t="shared" si="5"/>
        <v>8</v>
      </c>
      <c r="D31" s="5">
        <f t="shared" si="2"/>
        <v>2022</v>
      </c>
      <c r="E31" s="48">
        <v>0</v>
      </c>
      <c r="F31" s="5"/>
      <c r="G31" s="5"/>
      <c r="H31" s="5">
        <f t="shared" si="6"/>
        <v>8</v>
      </c>
      <c r="I31" s="5">
        <f t="shared" si="3"/>
        <v>2022</v>
      </c>
      <c r="J31" s="48">
        <v>0</v>
      </c>
      <c r="L31" s="5"/>
      <c r="M31" s="5">
        <f t="shared" si="7"/>
        <v>8</v>
      </c>
      <c r="N31" s="5">
        <f t="shared" si="4"/>
        <v>2022</v>
      </c>
      <c r="O31" s="48">
        <v>0</v>
      </c>
    </row>
    <row r="32" spans="1:16" s="4" customFormat="1" ht="13.5" customHeight="1">
      <c r="A32" s="5"/>
      <c r="B32" s="5"/>
      <c r="C32" s="5">
        <f t="shared" si="5"/>
        <v>9</v>
      </c>
      <c r="D32" s="5">
        <f t="shared" si="2"/>
        <v>2023</v>
      </c>
      <c r="E32" s="48">
        <v>0</v>
      </c>
      <c r="F32" s="5"/>
      <c r="G32" s="5"/>
      <c r="H32" s="5">
        <f t="shared" si="6"/>
        <v>9</v>
      </c>
      <c r="I32" s="5">
        <f t="shared" si="3"/>
        <v>2023</v>
      </c>
      <c r="J32" s="48">
        <v>0</v>
      </c>
      <c r="L32" s="5"/>
      <c r="M32" s="5">
        <f t="shared" si="7"/>
        <v>9</v>
      </c>
      <c r="N32" s="5">
        <f t="shared" si="4"/>
        <v>2023</v>
      </c>
      <c r="O32" s="48">
        <v>0</v>
      </c>
    </row>
    <row r="33" spans="1:15" s="4" customFormat="1" ht="13.5" customHeight="1">
      <c r="A33" s="5"/>
      <c r="B33" s="5"/>
      <c r="C33" s="5">
        <f t="shared" si="5"/>
        <v>10</v>
      </c>
      <c r="D33" s="5">
        <f t="shared" si="2"/>
        <v>2024</v>
      </c>
      <c r="E33" s="48">
        <v>0</v>
      </c>
      <c r="F33" s="5"/>
      <c r="G33" s="5"/>
      <c r="H33" s="5">
        <f t="shared" si="6"/>
        <v>10</v>
      </c>
      <c r="I33" s="5">
        <f t="shared" si="3"/>
        <v>2024</v>
      </c>
      <c r="J33" s="48">
        <v>0</v>
      </c>
      <c r="L33" s="5"/>
      <c r="M33" s="5">
        <f t="shared" si="7"/>
        <v>10</v>
      </c>
      <c r="N33" s="5">
        <f t="shared" si="4"/>
        <v>2024</v>
      </c>
      <c r="O33" s="48">
        <v>0</v>
      </c>
    </row>
    <row r="34" spans="1:15" s="4" customFormat="1" ht="13.5" customHeight="1">
      <c r="A34" s="5"/>
      <c r="B34" s="5"/>
      <c r="C34" s="5">
        <f t="shared" si="5"/>
        <v>11</v>
      </c>
      <c r="D34" s="5">
        <f t="shared" si="2"/>
        <v>2025</v>
      </c>
      <c r="E34" s="48">
        <v>0</v>
      </c>
      <c r="F34" s="5"/>
      <c r="G34" s="5"/>
      <c r="H34" s="5">
        <f t="shared" si="6"/>
        <v>11</v>
      </c>
      <c r="I34" s="5">
        <f t="shared" si="3"/>
        <v>2025</v>
      </c>
      <c r="J34" s="48">
        <v>0</v>
      </c>
      <c r="L34" s="5"/>
      <c r="M34" s="5">
        <f t="shared" si="7"/>
        <v>11</v>
      </c>
      <c r="N34" s="5">
        <f t="shared" si="4"/>
        <v>2025</v>
      </c>
      <c r="O34" s="48">
        <v>0</v>
      </c>
    </row>
    <row r="35" spans="1:15" s="4" customFormat="1" ht="16.5" customHeight="1">
      <c r="A35" s="5"/>
      <c r="B35" s="3" t="s">
        <v>102</v>
      </c>
      <c r="C35" s="50">
        <f t="shared" si="5"/>
        <v>12</v>
      </c>
      <c r="D35" s="50">
        <f t="shared" si="2"/>
        <v>2026</v>
      </c>
      <c r="E35" s="51">
        <f>E9*N9</f>
        <v>6075</v>
      </c>
      <c r="F35" s="13"/>
      <c r="G35" s="50" t="s">
        <v>9</v>
      </c>
      <c r="H35" s="50">
        <f t="shared" si="6"/>
        <v>12</v>
      </c>
      <c r="I35" s="50">
        <f t="shared" si="3"/>
        <v>2026</v>
      </c>
      <c r="J35" s="51">
        <f>E10*N9</f>
        <v>8505</v>
      </c>
      <c r="K35" s="52"/>
      <c r="L35" s="3" t="s">
        <v>102</v>
      </c>
      <c r="M35" s="50">
        <f t="shared" si="7"/>
        <v>12</v>
      </c>
      <c r="N35" s="50">
        <f t="shared" si="4"/>
        <v>2026</v>
      </c>
      <c r="O35" s="51">
        <f>E11*N9</f>
        <v>10935</v>
      </c>
    </row>
    <row r="36" spans="1:15" s="4" customFormat="1" ht="13.5" customHeight="1">
      <c r="A36" s="5"/>
      <c r="B36" s="13" t="s">
        <v>18</v>
      </c>
      <c r="C36" s="13">
        <f t="shared" si="5"/>
        <v>13</v>
      </c>
      <c r="D36" s="13">
        <f t="shared" si="2"/>
        <v>2027</v>
      </c>
      <c r="E36" s="53">
        <f>E30</f>
        <v>-1500</v>
      </c>
      <c r="F36" s="13"/>
      <c r="G36" s="13" t="s">
        <v>18</v>
      </c>
      <c r="H36" s="13">
        <f t="shared" si="6"/>
        <v>13</v>
      </c>
      <c r="I36" s="13">
        <f t="shared" si="3"/>
        <v>2027</v>
      </c>
      <c r="J36" s="53">
        <f>J30</f>
        <v>-1500</v>
      </c>
      <c r="K36" s="52"/>
      <c r="L36" s="13" t="s">
        <v>18</v>
      </c>
      <c r="M36" s="13">
        <f t="shared" si="7"/>
        <v>13</v>
      </c>
      <c r="N36" s="13">
        <f t="shared" si="4"/>
        <v>2027</v>
      </c>
      <c r="O36" s="53">
        <f>O30</f>
        <v>-1500</v>
      </c>
    </row>
    <row r="37" spans="1:15" s="4" customFormat="1" ht="13.5" customHeight="1">
      <c r="A37" s="5"/>
      <c r="B37" s="5"/>
      <c r="C37" s="5">
        <f t="shared" si="5"/>
        <v>14</v>
      </c>
      <c r="D37" s="5">
        <f t="shared" si="2"/>
        <v>2028</v>
      </c>
      <c r="E37" s="48">
        <v>0</v>
      </c>
      <c r="F37" s="5"/>
      <c r="G37" s="5"/>
      <c r="H37" s="5">
        <f t="shared" si="6"/>
        <v>14</v>
      </c>
      <c r="I37" s="5">
        <f t="shared" si="3"/>
        <v>2028</v>
      </c>
      <c r="J37" s="48">
        <v>0</v>
      </c>
      <c r="L37" s="5"/>
      <c r="M37" s="5">
        <f t="shared" si="7"/>
        <v>14</v>
      </c>
      <c r="N37" s="5">
        <f t="shared" si="4"/>
        <v>2028</v>
      </c>
      <c r="O37" s="48">
        <v>0</v>
      </c>
    </row>
    <row r="38" spans="1:15" s="4" customFormat="1" ht="13.5" customHeight="1">
      <c r="A38" s="5"/>
      <c r="B38" s="5"/>
      <c r="C38" s="5">
        <f t="shared" si="5"/>
        <v>15</v>
      </c>
      <c r="D38" s="5">
        <f t="shared" si="2"/>
        <v>2029</v>
      </c>
      <c r="E38" s="48">
        <v>0</v>
      </c>
      <c r="F38" s="5"/>
      <c r="G38" s="5"/>
      <c r="H38" s="5">
        <f t="shared" si="6"/>
        <v>15</v>
      </c>
      <c r="I38" s="5">
        <f t="shared" si="3"/>
        <v>2029</v>
      </c>
      <c r="J38" s="48">
        <v>0</v>
      </c>
      <c r="L38" s="5"/>
      <c r="M38" s="5">
        <f t="shared" si="7"/>
        <v>15</v>
      </c>
      <c r="N38" s="5">
        <f t="shared" si="4"/>
        <v>2029</v>
      </c>
      <c r="O38" s="48">
        <v>0</v>
      </c>
    </row>
    <row r="39" spans="1:15" s="4" customFormat="1" ht="13.5" customHeight="1">
      <c r="A39" s="5"/>
      <c r="B39" s="5"/>
      <c r="C39" s="5">
        <f t="shared" si="5"/>
        <v>16</v>
      </c>
      <c r="D39" s="5">
        <f t="shared" si="2"/>
        <v>2030</v>
      </c>
      <c r="E39" s="48">
        <v>0</v>
      </c>
      <c r="F39" s="5"/>
      <c r="G39" s="5"/>
      <c r="H39" s="5">
        <f t="shared" si="6"/>
        <v>16</v>
      </c>
      <c r="I39" s="5">
        <f t="shared" si="3"/>
        <v>2030</v>
      </c>
      <c r="J39" s="48">
        <v>0</v>
      </c>
      <c r="L39" s="5"/>
      <c r="M39" s="5">
        <f t="shared" si="7"/>
        <v>16</v>
      </c>
      <c r="N39" s="5">
        <f t="shared" si="4"/>
        <v>2030</v>
      </c>
      <c r="O39" s="48">
        <v>0</v>
      </c>
    </row>
    <row r="40" spans="1:15" s="4" customFormat="1" ht="11.25">
      <c r="A40" s="5"/>
      <c r="B40" s="5"/>
      <c r="C40" s="5">
        <f t="shared" si="5"/>
        <v>17</v>
      </c>
      <c r="D40" s="5">
        <f t="shared" si="2"/>
        <v>2031</v>
      </c>
      <c r="E40" s="48">
        <v>0</v>
      </c>
      <c r="F40" s="5"/>
      <c r="G40" s="5"/>
      <c r="H40" s="5">
        <f t="shared" si="6"/>
        <v>17</v>
      </c>
      <c r="I40" s="5">
        <f t="shared" si="3"/>
        <v>2031</v>
      </c>
      <c r="J40" s="48">
        <v>0</v>
      </c>
      <c r="L40" s="5"/>
      <c r="M40" s="5">
        <f t="shared" si="7"/>
        <v>17</v>
      </c>
      <c r="N40" s="5">
        <f t="shared" si="4"/>
        <v>2031</v>
      </c>
      <c r="O40" s="48">
        <v>0</v>
      </c>
    </row>
    <row r="41" spans="1:15" s="4" customFormat="1" ht="15.75" customHeight="1">
      <c r="A41" s="5"/>
      <c r="B41" s="3" t="s">
        <v>103</v>
      </c>
      <c r="C41" s="50">
        <f t="shared" si="5"/>
        <v>18</v>
      </c>
      <c r="D41" s="50">
        <f t="shared" si="2"/>
        <v>2032</v>
      </c>
      <c r="E41" s="51">
        <f>G9*N9</f>
        <v>5467.5</v>
      </c>
      <c r="F41" s="13"/>
      <c r="G41" s="50" t="s">
        <v>10</v>
      </c>
      <c r="H41" s="50">
        <f t="shared" si="6"/>
        <v>18</v>
      </c>
      <c r="I41" s="50">
        <f t="shared" si="3"/>
        <v>2032</v>
      </c>
      <c r="J41" s="51">
        <f>G10*N9</f>
        <v>7654.5</v>
      </c>
      <c r="K41" s="52"/>
      <c r="L41" s="3" t="s">
        <v>103</v>
      </c>
      <c r="M41" s="50">
        <f t="shared" si="7"/>
        <v>18</v>
      </c>
      <c r="N41" s="50">
        <f t="shared" si="4"/>
        <v>2032</v>
      </c>
      <c r="O41" s="51">
        <f>G11*N9</f>
        <v>9841.5</v>
      </c>
    </row>
    <row r="42" spans="1:15" s="4" customFormat="1" ht="15.75" customHeight="1">
      <c r="A42" s="5"/>
      <c r="B42" s="5" t="s">
        <v>19</v>
      </c>
      <c r="C42" s="5">
        <f t="shared" ref="C42" si="8">C41+1</f>
        <v>19</v>
      </c>
      <c r="D42" s="5">
        <f t="shared" ref="D42" si="9">D41+1</f>
        <v>2033</v>
      </c>
      <c r="E42" s="47"/>
      <c r="F42" s="5"/>
      <c r="G42" s="5" t="s">
        <v>19</v>
      </c>
      <c r="H42" s="5">
        <f t="shared" si="6"/>
        <v>19</v>
      </c>
      <c r="I42" s="5">
        <f t="shared" si="3"/>
        <v>2033</v>
      </c>
      <c r="J42" s="47"/>
      <c r="L42" s="5" t="s">
        <v>19</v>
      </c>
      <c r="M42" s="5">
        <f t="shared" si="7"/>
        <v>19</v>
      </c>
      <c r="N42" s="5">
        <f t="shared" si="4"/>
        <v>2033</v>
      </c>
      <c r="O42" s="47"/>
    </row>
    <row r="43" spans="1:15">
      <c r="E43" s="12"/>
    </row>
    <row r="44" spans="1:15">
      <c r="E44" s="12"/>
    </row>
    <row r="45" spans="1:15">
      <c r="E45" s="12"/>
    </row>
    <row r="46" spans="1:15">
      <c r="E46" s="12"/>
    </row>
    <row r="47" spans="1:15">
      <c r="E47" s="12"/>
    </row>
    <row r="48" spans="1:15">
      <c r="E48" s="12"/>
    </row>
    <row r="49" spans="1:16">
      <c r="E49" s="12"/>
    </row>
    <row r="50" spans="1:16">
      <c r="E50" s="12"/>
    </row>
    <row r="51" spans="1:16">
      <c r="E51" s="12"/>
    </row>
    <row r="52" spans="1:16">
      <c r="E52" s="12"/>
    </row>
    <row r="53" spans="1:16" ht="33.75" customHeight="1">
      <c r="A53" s="264" t="s">
        <v>72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6"/>
    </row>
    <row r="54" spans="1:16">
      <c r="E54" s="12"/>
    </row>
    <row r="55" spans="1:16">
      <c r="E55" s="12"/>
    </row>
    <row r="56" spans="1:16">
      <c r="E56" s="12"/>
    </row>
    <row r="57" spans="1:16" ht="18.75">
      <c r="B57" s="270" t="s">
        <v>39</v>
      </c>
      <c r="C57" s="270"/>
      <c r="D57" s="270"/>
      <c r="E57" s="270"/>
      <c r="G57" s="280" t="s">
        <v>40</v>
      </c>
      <c r="H57" s="280"/>
      <c r="I57" s="280"/>
      <c r="J57" s="280"/>
      <c r="L57" s="281" t="s">
        <v>41</v>
      </c>
      <c r="M57" s="281"/>
      <c r="N57" s="281"/>
      <c r="O57" s="281"/>
    </row>
    <row r="58" spans="1:16">
      <c r="B58" s="2"/>
      <c r="C58" s="2"/>
      <c r="D58" s="2"/>
      <c r="E58" s="2"/>
      <c r="F58" s="2"/>
      <c r="G58" s="2"/>
      <c r="H58" s="2"/>
      <c r="I58" s="2"/>
    </row>
    <row r="59" spans="1:16">
      <c r="B59" s="151" t="s">
        <v>111</v>
      </c>
      <c r="C59" s="152"/>
      <c r="D59" s="162"/>
      <c r="E59" s="163">
        <v>0.1</v>
      </c>
      <c r="G59" s="151" t="s">
        <v>111</v>
      </c>
      <c r="H59" s="152"/>
      <c r="I59" s="162"/>
      <c r="J59" s="163">
        <v>0.1</v>
      </c>
      <c r="K59" s="1"/>
      <c r="L59" s="151" t="s">
        <v>111</v>
      </c>
      <c r="M59" s="152"/>
      <c r="N59" s="162"/>
      <c r="O59" s="163">
        <v>0.1</v>
      </c>
    </row>
    <row r="60" spans="1:16">
      <c r="B60" s="153"/>
      <c r="C60" s="154"/>
      <c r="D60" s="153"/>
      <c r="E60" s="156"/>
      <c r="F60" s="2"/>
      <c r="G60" s="153"/>
      <c r="H60" s="154"/>
      <c r="I60" s="153"/>
      <c r="J60" s="156"/>
      <c r="L60" s="153"/>
      <c r="M60" s="154"/>
      <c r="N60" s="153"/>
      <c r="O60" s="156"/>
    </row>
    <row r="61" spans="1:16" s="146" customFormat="1">
      <c r="A61" s="16"/>
      <c r="B61" s="155" t="s">
        <v>117</v>
      </c>
      <c r="C61" s="156"/>
      <c r="D61" s="153"/>
      <c r="E61" s="156">
        <f>C29</f>
        <v>6</v>
      </c>
      <c r="F61" s="16"/>
      <c r="G61" s="155" t="s">
        <v>117</v>
      </c>
      <c r="H61" s="156"/>
      <c r="I61" s="153"/>
      <c r="J61" s="156">
        <f>H29</f>
        <v>6</v>
      </c>
      <c r="K61" s="16"/>
      <c r="L61" s="155" t="s">
        <v>117</v>
      </c>
      <c r="M61" s="156"/>
      <c r="N61" s="153"/>
      <c r="O61" s="156">
        <f>M29</f>
        <v>6</v>
      </c>
      <c r="P61" s="16"/>
    </row>
    <row r="62" spans="1:16">
      <c r="B62" s="155"/>
      <c r="C62" s="156"/>
      <c r="D62" s="155"/>
      <c r="E62" s="156"/>
      <c r="G62" s="155"/>
      <c r="H62" s="156"/>
      <c r="I62" s="155"/>
      <c r="J62" s="156"/>
      <c r="K62" s="1"/>
      <c r="L62" s="155"/>
      <c r="M62" s="156"/>
      <c r="N62" s="155"/>
      <c r="O62" s="156"/>
      <c r="P62" s="1"/>
    </row>
    <row r="63" spans="1:16">
      <c r="B63" s="157" t="s">
        <v>23</v>
      </c>
      <c r="C63" s="158"/>
      <c r="D63" s="155"/>
      <c r="E63" s="164">
        <f>E23</f>
        <v>-5555.0000000000027</v>
      </c>
      <c r="G63" s="157" t="s">
        <v>23</v>
      </c>
      <c r="H63" s="158"/>
      <c r="I63" s="155"/>
      <c r="J63" s="164">
        <f>J23</f>
        <v>-6666.0000000000009</v>
      </c>
      <c r="K63" s="1"/>
      <c r="L63" s="157" t="s">
        <v>23</v>
      </c>
      <c r="M63" s="158"/>
      <c r="N63" s="155"/>
      <c r="O63" s="164">
        <f>O23</f>
        <v>-7777</v>
      </c>
      <c r="P63" s="1"/>
    </row>
    <row r="64" spans="1:16">
      <c r="B64" s="155"/>
      <c r="C64" s="156"/>
      <c r="D64" s="155"/>
      <c r="E64" s="156"/>
      <c r="G64" s="155"/>
      <c r="H64" s="156"/>
      <c r="I64" s="155"/>
      <c r="J64" s="156"/>
      <c r="K64" s="1"/>
      <c r="L64" s="155"/>
      <c r="M64" s="156"/>
      <c r="N64" s="155"/>
      <c r="O64" s="156"/>
      <c r="P64" s="1"/>
    </row>
    <row r="65" spans="1:16">
      <c r="B65" s="159" t="s">
        <v>120</v>
      </c>
      <c r="C65" s="156"/>
      <c r="D65" s="155"/>
      <c r="E65" s="165">
        <f>(NPV(E59,E87:E104))</f>
        <v>5525.0254323309464</v>
      </c>
      <c r="F65" s="145"/>
      <c r="G65" s="159" t="s">
        <v>120</v>
      </c>
      <c r="H65" s="156"/>
      <c r="I65" s="155"/>
      <c r="J65" s="165">
        <f>(NPV(J59,J87:J104))</f>
        <v>8216.7291040437594</v>
      </c>
      <c r="K65" s="145"/>
      <c r="L65" s="159" t="s">
        <v>120</v>
      </c>
      <c r="M65" s="156"/>
      <c r="N65" s="155"/>
      <c r="O65" s="165">
        <f>(NPV(O59,O87:O104))</f>
        <v>10908.432775756573</v>
      </c>
      <c r="P65" s="1"/>
    </row>
    <row r="66" spans="1:16">
      <c r="B66" s="155"/>
      <c r="C66" s="156"/>
      <c r="D66" s="155"/>
      <c r="E66" s="156"/>
      <c r="G66" s="155"/>
      <c r="H66" s="156"/>
      <c r="I66" s="155"/>
      <c r="J66" s="156"/>
      <c r="K66" s="1"/>
      <c r="L66" s="155"/>
      <c r="M66" s="156"/>
      <c r="N66" s="155"/>
      <c r="O66" s="156"/>
      <c r="P66" s="1"/>
    </row>
    <row r="67" spans="1:16">
      <c r="B67" s="159" t="s">
        <v>121</v>
      </c>
      <c r="C67" s="156"/>
      <c r="D67" s="166"/>
      <c r="E67" s="167">
        <f>E65+E63</f>
        <v>-29.974567669056341</v>
      </c>
      <c r="F67" s="150"/>
      <c r="G67" s="159" t="s">
        <v>121</v>
      </c>
      <c r="H67" s="156"/>
      <c r="I67" s="166"/>
      <c r="J67" s="167">
        <f>J65+J63</f>
        <v>1550.7291040437585</v>
      </c>
      <c r="K67" s="150"/>
      <c r="L67" s="159" t="s">
        <v>121</v>
      </c>
      <c r="M67" s="156"/>
      <c r="N67" s="166"/>
      <c r="O67" s="167">
        <f>O65+O63</f>
        <v>3131.4327757565734</v>
      </c>
      <c r="P67" s="1"/>
    </row>
    <row r="68" spans="1:16">
      <c r="B68" s="155"/>
      <c r="C68" s="156"/>
      <c r="D68" s="155"/>
      <c r="E68" s="156"/>
      <c r="F68" s="16"/>
      <c r="G68" s="155"/>
      <c r="H68" s="156"/>
      <c r="I68" s="155"/>
      <c r="J68" s="156"/>
      <c r="K68" s="16"/>
      <c r="L68" s="155"/>
      <c r="M68" s="156"/>
      <c r="N68" s="155"/>
      <c r="O68" s="156"/>
      <c r="P68" s="1"/>
    </row>
    <row r="69" spans="1:16">
      <c r="B69" s="159" t="s">
        <v>118</v>
      </c>
      <c r="C69" s="156"/>
      <c r="D69" s="155"/>
      <c r="E69" s="168">
        <f>IRR(E23:E41)</f>
        <v>9.9377246303321856E-2</v>
      </c>
      <c r="F69" s="146"/>
      <c r="G69" s="159" t="s">
        <v>118</v>
      </c>
      <c r="H69" s="156"/>
      <c r="I69" s="155"/>
      <c r="J69" s="168">
        <f>IRR(J23:J41)</f>
        <v>0.12502570037279148</v>
      </c>
      <c r="K69" s="146"/>
      <c r="L69" s="159" t="s">
        <v>118</v>
      </c>
      <c r="M69" s="156"/>
      <c r="N69" s="155"/>
      <c r="O69" s="168">
        <f>IRR(O23:O41)</f>
        <v>0.14142367635042072</v>
      </c>
      <c r="P69" s="146"/>
    </row>
    <row r="70" spans="1:16">
      <c r="B70" s="155"/>
      <c r="C70" s="156"/>
      <c r="D70" s="155"/>
      <c r="E70" s="156"/>
      <c r="F70" s="16"/>
      <c r="G70" s="155"/>
      <c r="H70" s="156"/>
      <c r="I70" s="155"/>
      <c r="J70" s="156"/>
      <c r="K70" s="16"/>
      <c r="L70" s="155"/>
      <c r="M70" s="156"/>
      <c r="N70" s="155"/>
      <c r="O70" s="156"/>
      <c r="P70" s="1"/>
    </row>
    <row r="71" spans="1:16">
      <c r="B71" s="155"/>
      <c r="C71" s="156"/>
      <c r="D71" s="155"/>
      <c r="E71" s="169"/>
      <c r="G71" s="155"/>
      <c r="H71" s="156"/>
      <c r="I71" s="155"/>
      <c r="J71" s="169"/>
      <c r="K71" s="1"/>
      <c r="L71" s="155"/>
      <c r="M71" s="156"/>
      <c r="N71" s="155"/>
      <c r="O71" s="169"/>
      <c r="P71" s="1"/>
    </row>
    <row r="72" spans="1:16" s="149" customFormat="1" ht="18.75">
      <c r="A72" s="147"/>
      <c r="B72" s="160" t="s">
        <v>33</v>
      </c>
      <c r="C72" s="161"/>
      <c r="D72" s="277" t="s">
        <v>34</v>
      </c>
      <c r="E72" s="278"/>
      <c r="F72" s="147"/>
      <c r="G72" s="160" t="s">
        <v>33</v>
      </c>
      <c r="H72" s="161"/>
      <c r="I72" s="277" t="s">
        <v>35</v>
      </c>
      <c r="J72" s="278"/>
      <c r="K72" s="147"/>
      <c r="L72" s="160" t="s">
        <v>33</v>
      </c>
      <c r="M72" s="161"/>
      <c r="N72" s="277" t="s">
        <v>36</v>
      </c>
      <c r="O72" s="278"/>
      <c r="P72" s="147"/>
    </row>
    <row r="73" spans="1:16">
      <c r="B73" s="16"/>
      <c r="C73" s="16"/>
      <c r="D73" s="16"/>
      <c r="E73" s="16"/>
      <c r="J73" s="1"/>
      <c r="K73" s="1"/>
      <c r="L73" s="1"/>
      <c r="M73" s="1"/>
      <c r="N73" s="1"/>
      <c r="O73" s="1"/>
      <c r="P73" s="1"/>
    </row>
    <row r="74" spans="1:16">
      <c r="J74" s="1"/>
      <c r="K74" s="1"/>
      <c r="L74" s="1"/>
      <c r="M74" s="1"/>
      <c r="N74" s="1"/>
      <c r="O74" s="1"/>
      <c r="P74" s="1"/>
    </row>
    <row r="75" spans="1:16">
      <c r="J75" s="1"/>
      <c r="K75" s="1"/>
      <c r="L75" s="1"/>
      <c r="M75" s="1"/>
      <c r="N75" s="1"/>
      <c r="O75" s="1"/>
      <c r="P75" s="1"/>
    </row>
    <row r="76" spans="1:16">
      <c r="J76" s="1"/>
      <c r="K76" s="1"/>
      <c r="L76" s="1"/>
      <c r="M76" s="1"/>
      <c r="N76" s="1"/>
      <c r="O76" s="1"/>
      <c r="P76" s="1"/>
    </row>
    <row r="77" spans="1:16">
      <c r="J77" s="1"/>
      <c r="K77" s="1"/>
      <c r="L77" s="1"/>
      <c r="M77" s="1"/>
      <c r="N77" s="1"/>
      <c r="O77" s="1"/>
      <c r="P77" s="1"/>
    </row>
    <row r="78" spans="1:16">
      <c r="J78" s="1"/>
      <c r="K78" s="1"/>
      <c r="L78" s="1"/>
      <c r="M78" s="1"/>
      <c r="N78" s="1"/>
      <c r="O78" s="1"/>
      <c r="P78" s="1"/>
    </row>
    <row r="79" spans="1:16">
      <c r="J79" s="1"/>
      <c r="K79" s="1"/>
      <c r="L79" s="1"/>
      <c r="M79" s="1"/>
      <c r="N79" s="1"/>
      <c r="O79" s="1"/>
      <c r="P79" s="1"/>
    </row>
    <row r="80" spans="1:16">
      <c r="J80" s="1"/>
      <c r="K80" s="1"/>
      <c r="L80" s="1"/>
      <c r="M80" s="1"/>
      <c r="N80" s="1"/>
      <c r="O80" s="1"/>
      <c r="P80" s="1"/>
    </row>
    <row r="81" spans="2:16">
      <c r="J81" s="1"/>
      <c r="K81" s="1"/>
      <c r="L81" s="1"/>
      <c r="M81" s="1"/>
      <c r="N81" s="1"/>
      <c r="O81" s="1"/>
      <c r="P81" s="1"/>
    </row>
    <row r="82" spans="2:16">
      <c r="J82" s="1"/>
      <c r="K82" s="1"/>
      <c r="L82" s="1"/>
      <c r="M82" s="1"/>
      <c r="N82" s="1"/>
      <c r="O82" s="1"/>
      <c r="P82" s="1"/>
    </row>
    <row r="83" spans="2:16" ht="28.5" customHeight="1">
      <c r="B83" s="267" t="s">
        <v>25</v>
      </c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9"/>
      <c r="P83" s="1"/>
    </row>
    <row r="84" spans="2:16" ht="17.25" customHeight="1">
      <c r="B84" s="86"/>
      <c r="C84" s="86"/>
      <c r="D84" s="86"/>
      <c r="E84" s="86"/>
      <c r="F84" s="87"/>
      <c r="G84" s="86"/>
      <c r="H84" s="86"/>
      <c r="I84" s="86"/>
      <c r="J84" s="86"/>
      <c r="K84" s="87"/>
      <c r="L84" s="86"/>
      <c r="M84" s="86"/>
      <c r="N84" s="86"/>
      <c r="O84" s="86"/>
      <c r="P84" s="1"/>
    </row>
    <row r="85" spans="2:16" ht="18.75">
      <c r="B85" s="260" t="s">
        <v>39</v>
      </c>
      <c r="C85" s="260"/>
      <c r="D85" s="260"/>
      <c r="E85" s="260"/>
      <c r="G85" s="261" t="s">
        <v>40</v>
      </c>
      <c r="H85" s="261"/>
      <c r="I85" s="261"/>
      <c r="J85" s="261"/>
      <c r="L85" s="262" t="s">
        <v>41</v>
      </c>
      <c r="M85" s="262"/>
      <c r="N85" s="262"/>
      <c r="O85" s="262"/>
      <c r="P85" s="1"/>
    </row>
    <row r="86" spans="2:16">
      <c r="B86" s="16" t="str">
        <f>B23</f>
        <v>PLANTIO</v>
      </c>
      <c r="C86" s="16">
        <f>C23</f>
        <v>0</v>
      </c>
      <c r="D86" s="16">
        <f>D23</f>
        <v>2014</v>
      </c>
      <c r="E86" s="55">
        <v>0</v>
      </c>
      <c r="G86" s="16" t="str">
        <f>G23</f>
        <v>PLANTIO</v>
      </c>
      <c r="H86" s="16">
        <f>H23</f>
        <v>0</v>
      </c>
      <c r="I86" s="16">
        <f>I23</f>
        <v>2014</v>
      </c>
      <c r="J86" s="55">
        <v>0</v>
      </c>
      <c r="K86" s="1"/>
      <c r="L86" s="16" t="str">
        <f>L23</f>
        <v>PLANTIO</v>
      </c>
      <c r="M86" s="16">
        <f>M23</f>
        <v>0</v>
      </c>
      <c r="N86" s="16">
        <f>N23</f>
        <v>2014</v>
      </c>
      <c r="O86" s="55">
        <v>0</v>
      </c>
      <c r="P86" s="1"/>
    </row>
    <row r="87" spans="2:16">
      <c r="B87" s="16">
        <f t="shared" ref="B87:E87" si="10">B24</f>
        <v>0</v>
      </c>
      <c r="C87" s="16">
        <f t="shared" si="10"/>
        <v>1</v>
      </c>
      <c r="D87" s="16">
        <f t="shared" si="10"/>
        <v>2015</v>
      </c>
      <c r="E87" s="55">
        <f t="shared" si="10"/>
        <v>0</v>
      </c>
      <c r="G87" s="16">
        <f t="shared" ref="G87:J87" si="11">G24</f>
        <v>0</v>
      </c>
      <c r="H87" s="16">
        <f t="shared" si="11"/>
        <v>1</v>
      </c>
      <c r="I87" s="16">
        <f t="shared" si="11"/>
        <v>2015</v>
      </c>
      <c r="J87" s="55">
        <f t="shared" si="11"/>
        <v>0</v>
      </c>
      <c r="K87" s="1"/>
      <c r="L87" s="16">
        <f t="shared" ref="L87:O87" si="12">L24</f>
        <v>0</v>
      </c>
      <c r="M87" s="16">
        <f t="shared" si="12"/>
        <v>1</v>
      </c>
      <c r="N87" s="16">
        <f t="shared" si="12"/>
        <v>2015</v>
      </c>
      <c r="O87" s="55">
        <f t="shared" si="12"/>
        <v>0</v>
      </c>
      <c r="P87" s="1"/>
    </row>
    <row r="88" spans="2:16">
      <c r="B88" s="16">
        <f t="shared" ref="B88:E88" si="13">B25</f>
        <v>0</v>
      </c>
      <c r="C88" s="16">
        <f t="shared" si="13"/>
        <v>2</v>
      </c>
      <c r="D88" s="16">
        <f t="shared" si="13"/>
        <v>2016</v>
      </c>
      <c r="E88" s="55">
        <f t="shared" si="13"/>
        <v>0</v>
      </c>
      <c r="G88" s="16">
        <f t="shared" ref="G88:J88" si="14">G25</f>
        <v>0</v>
      </c>
      <c r="H88" s="16">
        <f t="shared" si="14"/>
        <v>2</v>
      </c>
      <c r="I88" s="16">
        <f t="shared" si="14"/>
        <v>2016</v>
      </c>
      <c r="J88" s="55">
        <f t="shared" si="14"/>
        <v>0</v>
      </c>
      <c r="K88" s="1"/>
      <c r="L88" s="16">
        <f t="shared" ref="L88:O88" si="15">L25</f>
        <v>0</v>
      </c>
      <c r="M88" s="16">
        <f t="shared" si="15"/>
        <v>2</v>
      </c>
      <c r="N88" s="16">
        <f t="shared" si="15"/>
        <v>2016</v>
      </c>
      <c r="O88" s="55">
        <f t="shared" si="15"/>
        <v>0</v>
      </c>
      <c r="P88" s="1"/>
    </row>
    <row r="89" spans="2:16">
      <c r="B89" s="16">
        <f t="shared" ref="B89:E89" si="16">B26</f>
        <v>0</v>
      </c>
      <c r="C89" s="16">
        <f t="shared" si="16"/>
        <v>3</v>
      </c>
      <c r="D89" s="16">
        <f t="shared" si="16"/>
        <v>2017</v>
      </c>
      <c r="E89" s="55">
        <f t="shared" si="16"/>
        <v>0</v>
      </c>
      <c r="G89" s="16">
        <f t="shared" ref="G89:J89" si="17">G26</f>
        <v>0</v>
      </c>
      <c r="H89" s="16">
        <f t="shared" si="17"/>
        <v>3</v>
      </c>
      <c r="I89" s="16">
        <f t="shared" si="17"/>
        <v>2017</v>
      </c>
      <c r="J89" s="55">
        <f t="shared" si="17"/>
        <v>0</v>
      </c>
      <c r="K89" s="1"/>
      <c r="L89" s="16">
        <f t="shared" ref="L89:O89" si="18">L26</f>
        <v>0</v>
      </c>
      <c r="M89" s="16">
        <f t="shared" si="18"/>
        <v>3</v>
      </c>
      <c r="N89" s="16">
        <f t="shared" si="18"/>
        <v>2017</v>
      </c>
      <c r="O89" s="55">
        <f t="shared" si="18"/>
        <v>0</v>
      </c>
      <c r="P89" s="1"/>
    </row>
    <row r="90" spans="2:16">
      <c r="B90" s="16">
        <f t="shared" ref="B90:E90" si="19">B27</f>
        <v>0</v>
      </c>
      <c r="C90" s="16">
        <f t="shared" si="19"/>
        <v>4</v>
      </c>
      <c r="D90" s="16">
        <f t="shared" si="19"/>
        <v>2018</v>
      </c>
      <c r="E90" s="55">
        <f t="shared" si="19"/>
        <v>0</v>
      </c>
      <c r="G90" s="16">
        <f t="shared" ref="G90:J90" si="20">G27</f>
        <v>0</v>
      </c>
      <c r="H90" s="16">
        <f t="shared" si="20"/>
        <v>4</v>
      </c>
      <c r="I90" s="16">
        <f t="shared" si="20"/>
        <v>2018</v>
      </c>
      <c r="J90" s="55">
        <f t="shared" si="20"/>
        <v>0</v>
      </c>
      <c r="K90" s="1"/>
      <c r="L90" s="16">
        <f t="shared" ref="L90:O90" si="21">L27</f>
        <v>0</v>
      </c>
      <c r="M90" s="16">
        <f t="shared" si="21"/>
        <v>4</v>
      </c>
      <c r="N90" s="16">
        <f t="shared" si="21"/>
        <v>2018</v>
      </c>
      <c r="O90" s="55">
        <f t="shared" si="21"/>
        <v>0</v>
      </c>
      <c r="P90" s="1"/>
    </row>
    <row r="91" spans="2:16">
      <c r="B91" s="16">
        <f t="shared" ref="B91:E91" si="22">B28</f>
        <v>0</v>
      </c>
      <c r="C91" s="16">
        <f t="shared" si="22"/>
        <v>5</v>
      </c>
      <c r="D91" s="16">
        <f t="shared" si="22"/>
        <v>2019</v>
      </c>
      <c r="E91" s="55">
        <f t="shared" si="22"/>
        <v>0</v>
      </c>
      <c r="G91" s="16">
        <f t="shared" ref="G91:J91" si="23">G28</f>
        <v>0</v>
      </c>
      <c r="H91" s="16">
        <f t="shared" si="23"/>
        <v>5</v>
      </c>
      <c r="I91" s="16">
        <f t="shared" si="23"/>
        <v>2019</v>
      </c>
      <c r="J91" s="55">
        <f t="shared" si="23"/>
        <v>0</v>
      </c>
      <c r="K91" s="1"/>
      <c r="L91" s="16">
        <f t="shared" ref="L91:O91" si="24">L28</f>
        <v>0</v>
      </c>
      <c r="M91" s="16">
        <f t="shared" si="24"/>
        <v>5</v>
      </c>
      <c r="N91" s="16">
        <f t="shared" si="24"/>
        <v>2019</v>
      </c>
      <c r="O91" s="55">
        <f t="shared" si="24"/>
        <v>0</v>
      </c>
      <c r="P91" s="1"/>
    </row>
    <row r="92" spans="2:16">
      <c r="B92" s="16" t="str">
        <f t="shared" ref="B92:E92" si="25">B29</f>
        <v>1.º corte raso</v>
      </c>
      <c r="C92" s="16">
        <f t="shared" si="25"/>
        <v>6</v>
      </c>
      <c r="D92" s="16">
        <f t="shared" si="25"/>
        <v>2020</v>
      </c>
      <c r="E92" s="55">
        <f t="shared" si="25"/>
        <v>6750</v>
      </c>
      <c r="G92" s="16" t="str">
        <f t="shared" ref="G92:J92" si="26">G29</f>
        <v>1.º corte</v>
      </c>
      <c r="H92" s="16">
        <f t="shared" si="26"/>
        <v>6</v>
      </c>
      <c r="I92" s="16">
        <f t="shared" si="26"/>
        <v>2020</v>
      </c>
      <c r="J92" s="55">
        <f t="shared" si="26"/>
        <v>9450</v>
      </c>
      <c r="K92" s="1"/>
      <c r="L92" s="16" t="str">
        <f t="shared" ref="L92:O92" si="27">L29</f>
        <v>1.º corte raso</v>
      </c>
      <c r="M92" s="16">
        <f t="shared" si="27"/>
        <v>6</v>
      </c>
      <c r="N92" s="16">
        <f t="shared" si="27"/>
        <v>2020</v>
      </c>
      <c r="O92" s="55">
        <f t="shared" si="27"/>
        <v>12150</v>
      </c>
      <c r="P92" s="1"/>
    </row>
    <row r="93" spans="2:16">
      <c r="B93" s="16" t="str">
        <f t="shared" ref="B93:E93" si="28">B30</f>
        <v>condução rebrota</v>
      </c>
      <c r="C93" s="16">
        <f t="shared" si="28"/>
        <v>7</v>
      </c>
      <c r="D93" s="16">
        <f t="shared" si="28"/>
        <v>2021</v>
      </c>
      <c r="E93" s="43">
        <f t="shared" si="28"/>
        <v>-1500</v>
      </c>
      <c r="G93" s="16" t="str">
        <f t="shared" ref="G93:J93" si="29">G30</f>
        <v>condução rebrota</v>
      </c>
      <c r="H93" s="16">
        <f t="shared" si="29"/>
        <v>7</v>
      </c>
      <c r="I93" s="16">
        <f t="shared" si="29"/>
        <v>2021</v>
      </c>
      <c r="J93" s="43">
        <f t="shared" si="29"/>
        <v>-1500</v>
      </c>
      <c r="K93" s="1"/>
      <c r="L93" s="16" t="str">
        <f t="shared" ref="L93:O93" si="30">L30</f>
        <v>condução rebrota</v>
      </c>
      <c r="M93" s="16">
        <f t="shared" si="30"/>
        <v>7</v>
      </c>
      <c r="N93" s="16">
        <f t="shared" si="30"/>
        <v>2021</v>
      </c>
      <c r="O93" s="43">
        <f t="shared" si="30"/>
        <v>-1500</v>
      </c>
      <c r="P93" s="1"/>
    </row>
    <row r="94" spans="2:16">
      <c r="B94" s="16">
        <f t="shared" ref="B94:E94" si="31">B31</f>
        <v>0</v>
      </c>
      <c r="C94" s="16">
        <f t="shared" si="31"/>
        <v>8</v>
      </c>
      <c r="D94" s="16">
        <f t="shared" si="31"/>
        <v>2022</v>
      </c>
      <c r="E94" s="55">
        <f t="shared" si="31"/>
        <v>0</v>
      </c>
      <c r="G94" s="16">
        <f t="shared" ref="G94:J94" si="32">G31</f>
        <v>0</v>
      </c>
      <c r="H94" s="16">
        <f t="shared" si="32"/>
        <v>8</v>
      </c>
      <c r="I94" s="16">
        <f t="shared" si="32"/>
        <v>2022</v>
      </c>
      <c r="J94" s="55">
        <f t="shared" si="32"/>
        <v>0</v>
      </c>
      <c r="K94" s="1"/>
      <c r="L94" s="16">
        <f t="shared" ref="L94:O94" si="33">L31</f>
        <v>0</v>
      </c>
      <c r="M94" s="16">
        <f t="shared" si="33"/>
        <v>8</v>
      </c>
      <c r="N94" s="16">
        <f t="shared" si="33"/>
        <v>2022</v>
      </c>
      <c r="O94" s="55">
        <f t="shared" si="33"/>
        <v>0</v>
      </c>
      <c r="P94" s="1"/>
    </row>
    <row r="95" spans="2:16">
      <c r="B95" s="16">
        <f t="shared" ref="B95:E95" si="34">B32</f>
        <v>0</v>
      </c>
      <c r="C95" s="16">
        <f t="shared" si="34"/>
        <v>9</v>
      </c>
      <c r="D95" s="16">
        <f t="shared" si="34"/>
        <v>2023</v>
      </c>
      <c r="E95" s="55">
        <f t="shared" si="34"/>
        <v>0</v>
      </c>
      <c r="G95" s="16">
        <f t="shared" ref="G95:J95" si="35">G32</f>
        <v>0</v>
      </c>
      <c r="H95" s="16">
        <f t="shared" si="35"/>
        <v>9</v>
      </c>
      <c r="I95" s="16">
        <f t="shared" si="35"/>
        <v>2023</v>
      </c>
      <c r="J95" s="55">
        <f t="shared" si="35"/>
        <v>0</v>
      </c>
      <c r="K95" s="1"/>
      <c r="L95" s="16">
        <f t="shared" ref="L95:O95" si="36">L32</f>
        <v>0</v>
      </c>
      <c r="M95" s="16">
        <f t="shared" si="36"/>
        <v>9</v>
      </c>
      <c r="N95" s="16">
        <f t="shared" si="36"/>
        <v>2023</v>
      </c>
      <c r="O95" s="55">
        <f t="shared" si="36"/>
        <v>0</v>
      </c>
      <c r="P95" s="1"/>
    </row>
    <row r="96" spans="2:16">
      <c r="B96" s="16">
        <f t="shared" ref="B96:E96" si="37">B33</f>
        <v>0</v>
      </c>
      <c r="C96" s="16">
        <f t="shared" si="37"/>
        <v>10</v>
      </c>
      <c r="D96" s="16">
        <f t="shared" si="37"/>
        <v>2024</v>
      </c>
      <c r="E96" s="55">
        <f t="shared" si="37"/>
        <v>0</v>
      </c>
      <c r="G96" s="16">
        <f t="shared" ref="G96:J96" si="38">G33</f>
        <v>0</v>
      </c>
      <c r="H96" s="16">
        <f t="shared" si="38"/>
        <v>10</v>
      </c>
      <c r="I96" s="16">
        <f t="shared" si="38"/>
        <v>2024</v>
      </c>
      <c r="J96" s="55">
        <f t="shared" si="38"/>
        <v>0</v>
      </c>
      <c r="K96" s="1"/>
      <c r="L96" s="16">
        <f t="shared" ref="L96:O96" si="39">L33</f>
        <v>0</v>
      </c>
      <c r="M96" s="16">
        <f t="shared" si="39"/>
        <v>10</v>
      </c>
      <c r="N96" s="16">
        <f t="shared" si="39"/>
        <v>2024</v>
      </c>
      <c r="O96" s="55">
        <f t="shared" si="39"/>
        <v>0</v>
      </c>
      <c r="P96" s="1"/>
    </row>
    <row r="97" spans="2:16">
      <c r="B97" s="16">
        <f t="shared" ref="B97:E97" si="40">B34</f>
        <v>0</v>
      </c>
      <c r="C97" s="16">
        <f t="shared" si="40"/>
        <v>11</v>
      </c>
      <c r="D97" s="16">
        <f t="shared" si="40"/>
        <v>2025</v>
      </c>
      <c r="E97" s="55">
        <f t="shared" si="40"/>
        <v>0</v>
      </c>
      <c r="G97" s="16">
        <f t="shared" ref="G97:J97" si="41">G34</f>
        <v>0</v>
      </c>
      <c r="H97" s="16">
        <f t="shared" si="41"/>
        <v>11</v>
      </c>
      <c r="I97" s="16">
        <f t="shared" si="41"/>
        <v>2025</v>
      </c>
      <c r="J97" s="55">
        <f t="shared" si="41"/>
        <v>0</v>
      </c>
      <c r="K97" s="1"/>
      <c r="L97" s="16">
        <f t="shared" ref="L97:O97" si="42">L34</f>
        <v>0</v>
      </c>
      <c r="M97" s="16">
        <f t="shared" si="42"/>
        <v>11</v>
      </c>
      <c r="N97" s="16">
        <f t="shared" si="42"/>
        <v>2025</v>
      </c>
      <c r="O97" s="55">
        <f t="shared" si="42"/>
        <v>0</v>
      </c>
      <c r="P97" s="1"/>
    </row>
    <row r="98" spans="2:16">
      <c r="B98" s="16" t="str">
        <f t="shared" ref="B98:E98" si="43">B35</f>
        <v>2.º corte raso</v>
      </c>
      <c r="C98" s="16">
        <f t="shared" si="43"/>
        <v>12</v>
      </c>
      <c r="D98" s="16">
        <f t="shared" si="43"/>
        <v>2026</v>
      </c>
      <c r="E98" s="55">
        <f t="shared" si="43"/>
        <v>6075</v>
      </c>
      <c r="G98" s="16" t="str">
        <f t="shared" ref="G98:J98" si="44">G35</f>
        <v>2.º corte</v>
      </c>
      <c r="H98" s="16">
        <f t="shared" si="44"/>
        <v>12</v>
      </c>
      <c r="I98" s="16">
        <f t="shared" si="44"/>
        <v>2026</v>
      </c>
      <c r="J98" s="55">
        <f t="shared" si="44"/>
        <v>8505</v>
      </c>
      <c r="K98" s="1"/>
      <c r="L98" s="16" t="str">
        <f t="shared" ref="L98:O98" si="45">L35</f>
        <v>2.º corte raso</v>
      </c>
      <c r="M98" s="16">
        <f t="shared" si="45"/>
        <v>12</v>
      </c>
      <c r="N98" s="16">
        <f t="shared" si="45"/>
        <v>2026</v>
      </c>
      <c r="O98" s="55">
        <f t="shared" si="45"/>
        <v>10935</v>
      </c>
      <c r="P98" s="1"/>
    </row>
    <row r="99" spans="2:16">
      <c r="B99" s="16" t="str">
        <f t="shared" ref="B99:E99" si="46">B36</f>
        <v>condução rebrota</v>
      </c>
      <c r="C99" s="16">
        <f t="shared" si="46"/>
        <v>13</v>
      </c>
      <c r="D99" s="16">
        <f t="shared" si="46"/>
        <v>2027</v>
      </c>
      <c r="E99" s="43">
        <f t="shared" si="46"/>
        <v>-1500</v>
      </c>
      <c r="G99" s="16" t="str">
        <f t="shared" ref="G99:J99" si="47">G36</f>
        <v>condução rebrota</v>
      </c>
      <c r="H99" s="16">
        <f t="shared" si="47"/>
        <v>13</v>
      </c>
      <c r="I99" s="16">
        <f t="shared" si="47"/>
        <v>2027</v>
      </c>
      <c r="J99" s="43">
        <f t="shared" si="47"/>
        <v>-1500</v>
      </c>
      <c r="K99" s="1"/>
      <c r="L99" s="16" t="str">
        <f t="shared" ref="L99:O99" si="48">L36</f>
        <v>condução rebrota</v>
      </c>
      <c r="M99" s="16">
        <f t="shared" si="48"/>
        <v>13</v>
      </c>
      <c r="N99" s="16">
        <f t="shared" si="48"/>
        <v>2027</v>
      </c>
      <c r="O99" s="43">
        <f t="shared" si="48"/>
        <v>-1500</v>
      </c>
      <c r="P99" s="1"/>
    </row>
    <row r="100" spans="2:16">
      <c r="B100" s="16">
        <f t="shared" ref="B100:E100" si="49">B37</f>
        <v>0</v>
      </c>
      <c r="C100" s="16">
        <f t="shared" si="49"/>
        <v>14</v>
      </c>
      <c r="D100" s="16">
        <f t="shared" si="49"/>
        <v>2028</v>
      </c>
      <c r="E100" s="55">
        <f t="shared" si="49"/>
        <v>0</v>
      </c>
      <c r="G100" s="16">
        <f t="shared" ref="G100:J100" si="50">G37</f>
        <v>0</v>
      </c>
      <c r="H100" s="16">
        <f t="shared" si="50"/>
        <v>14</v>
      </c>
      <c r="I100" s="16">
        <f t="shared" si="50"/>
        <v>2028</v>
      </c>
      <c r="J100" s="55">
        <f t="shared" si="50"/>
        <v>0</v>
      </c>
      <c r="K100" s="1"/>
      <c r="L100" s="16">
        <f t="shared" ref="L100:O100" si="51">L37</f>
        <v>0</v>
      </c>
      <c r="M100" s="16">
        <f t="shared" si="51"/>
        <v>14</v>
      </c>
      <c r="N100" s="16">
        <f t="shared" si="51"/>
        <v>2028</v>
      </c>
      <c r="O100" s="55">
        <f t="shared" si="51"/>
        <v>0</v>
      </c>
      <c r="P100" s="1"/>
    </row>
    <row r="101" spans="2:16">
      <c r="B101" s="16">
        <f t="shared" ref="B101:E101" si="52">B38</f>
        <v>0</v>
      </c>
      <c r="C101" s="16">
        <f t="shared" si="52"/>
        <v>15</v>
      </c>
      <c r="D101" s="16">
        <f t="shared" si="52"/>
        <v>2029</v>
      </c>
      <c r="E101" s="55">
        <f t="shared" si="52"/>
        <v>0</v>
      </c>
      <c r="G101" s="16">
        <f t="shared" ref="G101:J101" si="53">G38</f>
        <v>0</v>
      </c>
      <c r="H101" s="16">
        <f t="shared" si="53"/>
        <v>15</v>
      </c>
      <c r="I101" s="16">
        <f t="shared" si="53"/>
        <v>2029</v>
      </c>
      <c r="J101" s="55">
        <f t="shared" si="53"/>
        <v>0</v>
      </c>
      <c r="K101" s="1"/>
      <c r="L101" s="16">
        <f t="shared" ref="L101:O101" si="54">L38</f>
        <v>0</v>
      </c>
      <c r="M101" s="16">
        <f t="shared" si="54"/>
        <v>15</v>
      </c>
      <c r="N101" s="16">
        <f t="shared" si="54"/>
        <v>2029</v>
      </c>
      <c r="O101" s="55">
        <f t="shared" si="54"/>
        <v>0</v>
      </c>
      <c r="P101" s="1"/>
    </row>
    <row r="102" spans="2:16">
      <c r="B102" s="16">
        <f t="shared" ref="B102:E102" si="55">B39</f>
        <v>0</v>
      </c>
      <c r="C102" s="16">
        <f t="shared" si="55"/>
        <v>16</v>
      </c>
      <c r="D102" s="16">
        <f t="shared" si="55"/>
        <v>2030</v>
      </c>
      <c r="E102" s="55">
        <f t="shared" si="55"/>
        <v>0</v>
      </c>
      <c r="G102" s="16">
        <f t="shared" ref="G102:J102" si="56">G39</f>
        <v>0</v>
      </c>
      <c r="H102" s="16">
        <f t="shared" si="56"/>
        <v>16</v>
      </c>
      <c r="I102" s="16">
        <f t="shared" si="56"/>
        <v>2030</v>
      </c>
      <c r="J102" s="55">
        <f t="shared" si="56"/>
        <v>0</v>
      </c>
      <c r="K102" s="1"/>
      <c r="L102" s="16">
        <f t="shared" ref="L102:O102" si="57">L39</f>
        <v>0</v>
      </c>
      <c r="M102" s="16">
        <f t="shared" si="57"/>
        <v>16</v>
      </c>
      <c r="N102" s="16">
        <f t="shared" si="57"/>
        <v>2030</v>
      </c>
      <c r="O102" s="55">
        <f t="shared" si="57"/>
        <v>0</v>
      </c>
      <c r="P102" s="1"/>
    </row>
    <row r="103" spans="2:16">
      <c r="B103" s="16">
        <f t="shared" ref="B103:E103" si="58">B40</f>
        <v>0</v>
      </c>
      <c r="C103" s="16">
        <f t="shared" si="58"/>
        <v>17</v>
      </c>
      <c r="D103" s="16">
        <f t="shared" si="58"/>
        <v>2031</v>
      </c>
      <c r="E103" s="55">
        <f t="shared" si="58"/>
        <v>0</v>
      </c>
      <c r="G103" s="16">
        <f t="shared" ref="G103:J103" si="59">G40</f>
        <v>0</v>
      </c>
      <c r="H103" s="16">
        <f t="shared" si="59"/>
        <v>17</v>
      </c>
      <c r="I103" s="16">
        <f t="shared" si="59"/>
        <v>2031</v>
      </c>
      <c r="J103" s="55">
        <f t="shared" si="59"/>
        <v>0</v>
      </c>
      <c r="K103" s="1"/>
      <c r="L103" s="16">
        <f t="shared" ref="L103:O103" si="60">L40</f>
        <v>0</v>
      </c>
      <c r="M103" s="16">
        <f t="shared" si="60"/>
        <v>17</v>
      </c>
      <c r="N103" s="16">
        <f t="shared" si="60"/>
        <v>2031</v>
      </c>
      <c r="O103" s="55">
        <f t="shared" si="60"/>
        <v>0</v>
      </c>
      <c r="P103" s="1"/>
    </row>
    <row r="104" spans="2:16">
      <c r="B104" s="16" t="str">
        <f t="shared" ref="B104:E104" si="61">B41</f>
        <v>3.º corte raso</v>
      </c>
      <c r="C104" s="16">
        <f t="shared" si="61"/>
        <v>18</v>
      </c>
      <c r="D104" s="16">
        <f t="shared" si="61"/>
        <v>2032</v>
      </c>
      <c r="E104" s="55">
        <f t="shared" si="61"/>
        <v>5467.5</v>
      </c>
      <c r="G104" s="16" t="str">
        <f t="shared" ref="G104:J104" si="62">G41</f>
        <v>3.º corte</v>
      </c>
      <c r="H104" s="16">
        <f t="shared" si="62"/>
        <v>18</v>
      </c>
      <c r="I104" s="16">
        <f t="shared" si="62"/>
        <v>2032</v>
      </c>
      <c r="J104" s="55">
        <f t="shared" si="62"/>
        <v>7654.5</v>
      </c>
      <c r="K104" s="1"/>
      <c r="L104" s="16" t="str">
        <f t="shared" ref="L104:O104" si="63">L41</f>
        <v>3.º corte raso</v>
      </c>
      <c r="M104" s="16">
        <f t="shared" si="63"/>
        <v>18</v>
      </c>
      <c r="N104" s="16">
        <f t="shared" si="63"/>
        <v>2032</v>
      </c>
      <c r="O104" s="55">
        <f t="shared" si="63"/>
        <v>9841.5</v>
      </c>
      <c r="P104" s="1"/>
    </row>
    <row r="105" spans="2:16">
      <c r="E105" s="12"/>
      <c r="J105" s="12"/>
      <c r="K105" s="1"/>
      <c r="L105" s="1"/>
      <c r="M105" s="1"/>
      <c r="N105" s="1"/>
      <c r="O105" s="12"/>
      <c r="P105" s="1"/>
    </row>
    <row r="106" spans="2:16">
      <c r="E106" s="12"/>
      <c r="J106" s="12"/>
      <c r="K106" s="1"/>
      <c r="L106" s="1"/>
      <c r="M106" s="1"/>
      <c r="N106" s="1"/>
      <c r="O106" s="12"/>
      <c r="P106" s="1"/>
    </row>
  </sheetData>
  <mergeCells count="34">
    <mergeCell ref="D72:E72"/>
    <mergeCell ref="I72:J72"/>
    <mergeCell ref="N72:O72"/>
    <mergeCell ref="F1:O1"/>
    <mergeCell ref="G57:J57"/>
    <mergeCell ref="L57:O57"/>
    <mergeCell ref="L7:N7"/>
    <mergeCell ref="E8:F8"/>
    <mergeCell ref="E9:F9"/>
    <mergeCell ref="E10:F10"/>
    <mergeCell ref="E11:F11"/>
    <mergeCell ref="D7:G7"/>
    <mergeCell ref="C7:C8"/>
    <mergeCell ref="A5:P5"/>
    <mergeCell ref="P13:S13"/>
    <mergeCell ref="P14:S14"/>
    <mergeCell ref="A7:A8"/>
    <mergeCell ref="B7:B8"/>
    <mergeCell ref="B85:E85"/>
    <mergeCell ref="G85:J85"/>
    <mergeCell ref="L85:O85"/>
    <mergeCell ref="P7:S7"/>
    <mergeCell ref="P8:S8"/>
    <mergeCell ref="P9:S9"/>
    <mergeCell ref="P10:S10"/>
    <mergeCell ref="P11:S11"/>
    <mergeCell ref="P12:S12"/>
    <mergeCell ref="A53:P53"/>
    <mergeCell ref="A20:P20"/>
    <mergeCell ref="B83:O83"/>
    <mergeCell ref="L22:O22"/>
    <mergeCell ref="G22:J22"/>
    <mergeCell ref="B22:E22"/>
    <mergeCell ref="B57:E5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topLeftCell="A28" workbookViewId="0">
      <selection activeCell="F19" sqref="F19"/>
    </sheetView>
  </sheetViews>
  <sheetFormatPr defaultRowHeight="15"/>
  <cols>
    <col min="1" max="1" width="3.5703125" style="1" customWidth="1"/>
    <col min="2" max="2" width="11.28515625" style="1" customWidth="1"/>
    <col min="3" max="3" width="18.5703125" style="1" customWidth="1"/>
    <col min="4" max="4" width="12.7109375" style="1" customWidth="1"/>
    <col min="5" max="5" width="11.28515625" style="1" customWidth="1"/>
    <col min="6" max="6" width="10.42578125" style="1" customWidth="1"/>
    <col min="7" max="7" width="4.140625" style="1" customWidth="1"/>
    <col min="8" max="8" width="18.28515625" style="1" customWidth="1"/>
    <col min="9" max="9" width="5.42578125" style="1" customWidth="1"/>
    <col min="10" max="10" width="7" style="1" customWidth="1"/>
    <col min="11" max="11" width="12.42578125" style="2" customWidth="1"/>
    <col min="12" max="12" width="4.85546875" style="2" customWidth="1"/>
    <col min="13" max="13" width="17.5703125" style="2" customWidth="1"/>
    <col min="14" max="14" width="6.7109375" style="2" customWidth="1"/>
    <col min="15" max="15" width="10.140625" style="2" customWidth="1"/>
    <col min="16" max="16" width="11.85546875" style="2" customWidth="1"/>
    <col min="17" max="16384" width="9.140625" style="2"/>
  </cols>
  <sheetData>
    <row r="1" spans="1:19" ht="21">
      <c r="A1" s="26"/>
      <c r="B1" s="35"/>
      <c r="C1" s="4"/>
      <c r="D1" s="27"/>
      <c r="E1" s="27"/>
      <c r="F1" s="27"/>
      <c r="G1" s="279" t="s">
        <v>38</v>
      </c>
      <c r="H1" s="279"/>
      <c r="I1" s="279"/>
      <c r="J1" s="279"/>
      <c r="K1" s="279"/>
      <c r="L1" s="279"/>
      <c r="M1" s="279"/>
      <c r="N1" s="279"/>
      <c r="O1" s="279"/>
      <c r="P1" s="279"/>
    </row>
    <row r="2" spans="1:19" ht="21">
      <c r="C2" s="2"/>
      <c r="R2" s="26"/>
      <c r="S2" s="26"/>
    </row>
    <row r="3" spans="1:19" ht="15.75">
      <c r="B3" s="37"/>
      <c r="C3" s="4"/>
      <c r="D3" s="2"/>
      <c r="E3" s="2"/>
      <c r="F3" s="2"/>
      <c r="G3" s="2"/>
      <c r="I3" s="37"/>
      <c r="J3" s="4"/>
      <c r="L3" s="8"/>
      <c r="O3" s="4"/>
    </row>
    <row r="4" spans="1:19" ht="15.75">
      <c r="B4" s="37"/>
      <c r="C4" s="4"/>
      <c r="D4" s="2"/>
      <c r="E4" s="2"/>
      <c r="F4" s="2"/>
      <c r="G4" s="2"/>
      <c r="I4" s="37"/>
      <c r="J4" s="4"/>
      <c r="L4" s="8"/>
      <c r="O4" s="4"/>
    </row>
    <row r="5" spans="1:19" s="139" customFormat="1" ht="23.25">
      <c r="A5" s="273" t="s">
        <v>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</row>
    <row r="6" spans="1:19" ht="19.5" customHeight="1">
      <c r="B6" s="37"/>
      <c r="C6" s="4"/>
      <c r="D6" s="2"/>
      <c r="E6" s="2"/>
      <c r="F6" s="2"/>
      <c r="G6" s="2"/>
      <c r="I6" s="37"/>
      <c r="J6" s="4"/>
      <c r="L6" s="8"/>
      <c r="O6" s="4"/>
    </row>
    <row r="7" spans="1:19" ht="19.5" customHeight="1">
      <c r="B7" s="37"/>
      <c r="C7" s="4"/>
      <c r="D7" s="4" t="s">
        <v>46</v>
      </c>
      <c r="E7" s="4" t="s">
        <v>45</v>
      </c>
      <c r="F7" s="2"/>
      <c r="G7" s="2"/>
      <c r="I7" s="37"/>
      <c r="J7" s="4"/>
      <c r="L7" s="8"/>
      <c r="O7" s="4"/>
    </row>
    <row r="8" spans="1:19" ht="19.5" customHeight="1">
      <c r="B8" s="37"/>
      <c r="C8" s="8" t="s">
        <v>43</v>
      </c>
      <c r="D8" s="8" t="s">
        <v>44</v>
      </c>
      <c r="E8" s="91">
        <v>1111</v>
      </c>
      <c r="F8" s="2" t="s">
        <v>47</v>
      </c>
      <c r="G8" s="2"/>
      <c r="I8" s="37"/>
      <c r="J8" s="4"/>
      <c r="L8" s="8"/>
      <c r="O8" s="4"/>
    </row>
    <row r="9" spans="1:19" ht="19.5" customHeight="1">
      <c r="B9" s="37"/>
      <c r="C9" s="4"/>
      <c r="D9" s="8"/>
      <c r="E9" s="93">
        <f>E8*10%</f>
        <v>111.10000000000001</v>
      </c>
      <c r="F9" s="90" t="s">
        <v>48</v>
      </c>
      <c r="G9" s="90"/>
      <c r="H9" s="89"/>
      <c r="I9" s="37"/>
      <c r="J9" s="4"/>
      <c r="L9" s="8"/>
      <c r="O9" s="4"/>
    </row>
    <row r="10" spans="1:19" ht="19.5" customHeight="1">
      <c r="A10" s="110"/>
      <c r="B10" s="37"/>
      <c r="C10" s="4"/>
      <c r="D10" s="2"/>
      <c r="E10" s="92">
        <f>E8-E9</f>
        <v>999.9</v>
      </c>
      <c r="F10" s="2"/>
      <c r="G10" s="2"/>
      <c r="I10" s="37"/>
      <c r="J10" s="4"/>
      <c r="L10" s="8"/>
      <c r="O10" s="4"/>
    </row>
    <row r="11" spans="1:19" ht="19.5" customHeight="1">
      <c r="B11" s="37"/>
      <c r="C11" s="4"/>
      <c r="D11" s="2"/>
      <c r="E11" s="2"/>
      <c r="F11" s="2"/>
      <c r="G11" s="2"/>
      <c r="I11" s="37"/>
      <c r="J11" s="4"/>
      <c r="L11" s="8"/>
      <c r="O11" s="4"/>
    </row>
    <row r="12" spans="1:19" s="13" customFormat="1" ht="19.5" customHeight="1">
      <c r="C12" s="99" t="s">
        <v>55</v>
      </c>
      <c r="D12" s="99" t="s">
        <v>53</v>
      </c>
      <c r="E12" s="100" t="s">
        <v>54</v>
      </c>
      <c r="F12" s="112" t="s">
        <v>57</v>
      </c>
      <c r="G12" s="98"/>
      <c r="J12" s="5"/>
      <c r="K12" s="118" t="s">
        <v>60</v>
      </c>
      <c r="L12" s="119"/>
      <c r="M12" s="140" t="s">
        <v>63</v>
      </c>
      <c r="N12" s="289" t="s">
        <v>64</v>
      </c>
      <c r="O12" s="289"/>
      <c r="P12" s="289"/>
      <c r="Q12" s="289"/>
    </row>
    <row r="13" spans="1:19" s="96" customFormat="1" ht="20.25" customHeight="1">
      <c r="A13" s="110"/>
      <c r="B13" s="111" t="s">
        <v>49</v>
      </c>
      <c r="C13" s="101">
        <v>4</v>
      </c>
      <c r="D13" s="102">
        <v>0.33329999999999999</v>
      </c>
      <c r="E13" s="103">
        <f>$E$10*D13</f>
        <v>333.26666999999998</v>
      </c>
      <c r="F13" s="104">
        <v>50</v>
      </c>
      <c r="G13" s="113" t="s">
        <v>58</v>
      </c>
      <c r="J13" s="97"/>
      <c r="K13" s="115">
        <f>'analise financ ciclo curto'!N9</f>
        <v>27</v>
      </c>
      <c r="L13" s="113" t="s">
        <v>61</v>
      </c>
      <c r="M13" s="141"/>
      <c r="N13" s="289" t="s">
        <v>65</v>
      </c>
      <c r="O13" s="289"/>
      <c r="P13" s="289"/>
      <c r="Q13" s="289"/>
    </row>
    <row r="14" spans="1:19" s="96" customFormat="1" ht="20.25" customHeight="1">
      <c r="B14" s="80"/>
      <c r="C14" s="80"/>
      <c r="D14" s="80"/>
      <c r="E14" s="80"/>
      <c r="F14" s="80"/>
      <c r="G14" s="80"/>
      <c r="J14" s="97"/>
      <c r="K14" s="116"/>
      <c r="L14" s="80"/>
      <c r="M14" s="141"/>
      <c r="N14" s="289" t="s">
        <v>66</v>
      </c>
      <c r="O14" s="289"/>
      <c r="P14" s="289"/>
      <c r="Q14" s="289"/>
    </row>
    <row r="15" spans="1:19" s="80" customFormat="1" ht="20.25" customHeight="1">
      <c r="B15" s="111" t="s">
        <v>50</v>
      </c>
      <c r="C15" s="105">
        <v>8</v>
      </c>
      <c r="D15" s="102">
        <f>D13</f>
        <v>0.33329999999999999</v>
      </c>
      <c r="E15" s="103">
        <f>$E$10*D15</f>
        <v>333.26666999999998</v>
      </c>
      <c r="F15" s="104">
        <v>100</v>
      </c>
      <c r="G15" s="114" t="s">
        <v>58</v>
      </c>
      <c r="K15" s="115">
        <f>'analise financ ciclo curto'!N9</f>
        <v>27</v>
      </c>
      <c r="L15" s="113" t="s">
        <v>61</v>
      </c>
      <c r="M15" s="141"/>
      <c r="N15" s="289" t="s">
        <v>67</v>
      </c>
      <c r="O15" s="289"/>
      <c r="P15" s="289"/>
      <c r="Q15" s="289"/>
    </row>
    <row r="16" spans="1:19" s="80" customFormat="1" ht="20.25" customHeight="1">
      <c r="I16" s="353"/>
      <c r="K16" s="116"/>
      <c r="M16" s="141"/>
      <c r="N16" s="289" t="s">
        <v>68</v>
      </c>
      <c r="O16" s="289"/>
      <c r="P16" s="289"/>
      <c r="Q16" s="289"/>
    </row>
    <row r="17" spans="1:17" s="80" customFormat="1" ht="20.25" customHeight="1">
      <c r="B17" s="107" t="s">
        <v>52</v>
      </c>
      <c r="C17" s="105" t="s">
        <v>56</v>
      </c>
      <c r="D17" s="108">
        <f>D13</f>
        <v>0.33329999999999999</v>
      </c>
      <c r="E17" s="103">
        <f>$E$10*D17</f>
        <v>333.26666999999998</v>
      </c>
      <c r="F17" s="109">
        <v>300</v>
      </c>
      <c r="G17" s="106" t="s">
        <v>59</v>
      </c>
      <c r="K17" s="117">
        <f>'analise financ ciclo curto'!N10</f>
        <v>200</v>
      </c>
      <c r="L17" s="113" t="s">
        <v>62</v>
      </c>
      <c r="M17" s="141"/>
      <c r="N17" s="289" t="s">
        <v>69</v>
      </c>
      <c r="O17" s="289"/>
      <c r="P17" s="289"/>
      <c r="Q17" s="289"/>
    </row>
    <row r="18" spans="1:17" s="79" customFormat="1" ht="20.25" customHeight="1">
      <c r="C18" s="81"/>
      <c r="D18" s="82"/>
      <c r="E18" s="82"/>
      <c r="F18" s="82"/>
      <c r="N18" s="290" t="s">
        <v>74</v>
      </c>
      <c r="O18" s="290"/>
      <c r="P18" s="290"/>
      <c r="Q18" s="290"/>
    </row>
    <row r="19" spans="1:17" s="78" customFormat="1" ht="20.25" customHeight="1">
      <c r="A19" s="83"/>
      <c r="B19" s="83"/>
      <c r="C19" s="84"/>
      <c r="D19" s="85"/>
      <c r="E19" s="85"/>
      <c r="F19" s="352" t="s">
        <v>156</v>
      </c>
      <c r="G19" s="83"/>
      <c r="H19" s="83"/>
      <c r="I19" s="83"/>
      <c r="J19" s="83"/>
      <c r="N19" s="290" t="s">
        <v>75</v>
      </c>
      <c r="O19" s="290"/>
      <c r="P19" s="290"/>
      <c r="Q19" s="290"/>
    </row>
    <row r="20" spans="1:17" s="78" customFormat="1" ht="20.25" customHeight="1">
      <c r="A20" s="83"/>
      <c r="B20" s="83"/>
      <c r="C20" s="84"/>
      <c r="D20" s="85"/>
      <c r="E20" s="85"/>
      <c r="G20" s="83"/>
      <c r="H20" s="83"/>
      <c r="I20" s="83"/>
      <c r="J20" s="83"/>
      <c r="N20" s="142"/>
      <c r="O20" s="142"/>
      <c r="P20" s="142"/>
      <c r="Q20" s="142"/>
    </row>
    <row r="21" spans="1:17" s="78" customFormat="1" ht="20.25" customHeight="1">
      <c r="A21" s="83"/>
      <c r="B21" s="83"/>
      <c r="C21" s="84"/>
      <c r="D21" s="85"/>
      <c r="E21" s="85"/>
      <c r="F21" s="85"/>
      <c r="G21" s="83"/>
      <c r="H21" s="83"/>
      <c r="I21" s="83"/>
      <c r="J21" s="83"/>
      <c r="N21" s="123"/>
      <c r="O21" s="123"/>
      <c r="P21" s="123"/>
      <c r="Q21" s="123"/>
    </row>
    <row r="22" spans="1:17" s="78" customFormat="1" ht="20.25" customHeight="1">
      <c r="A22" s="83"/>
      <c r="B22" s="83"/>
      <c r="C22" s="84"/>
      <c r="D22" s="85"/>
      <c r="E22" s="85"/>
      <c r="F22" s="85"/>
      <c r="G22" s="83"/>
      <c r="H22" s="83"/>
      <c r="I22" s="83"/>
      <c r="J22" s="83"/>
      <c r="N22" s="123"/>
      <c r="O22" s="123"/>
      <c r="P22" s="123"/>
      <c r="Q22" s="123"/>
    </row>
    <row r="23" spans="1:17" s="78" customFormat="1" ht="20.25" customHeight="1">
      <c r="A23" s="83"/>
      <c r="B23" s="83"/>
      <c r="C23" s="84"/>
      <c r="D23" s="85"/>
      <c r="E23" s="85"/>
      <c r="F23" s="85"/>
      <c r="G23" s="83"/>
      <c r="H23" s="83"/>
      <c r="I23" s="83"/>
      <c r="J23" s="83"/>
      <c r="N23" s="123"/>
      <c r="O23" s="123"/>
      <c r="P23" s="123"/>
      <c r="Q23" s="123"/>
    </row>
    <row r="24" spans="1:17" s="8" customFormat="1" ht="27" customHeight="1">
      <c r="A24" s="9"/>
      <c r="B24" s="9"/>
      <c r="G24" s="9"/>
      <c r="H24" s="9"/>
      <c r="I24" s="9"/>
      <c r="J24" s="9"/>
    </row>
    <row r="25" spans="1:17" s="8" customFormat="1" ht="15.75">
      <c r="A25" s="9"/>
      <c r="B25" s="9"/>
      <c r="G25" s="9"/>
      <c r="H25" s="9"/>
      <c r="I25" s="9"/>
      <c r="J25" s="9"/>
    </row>
    <row r="26" spans="1:17" s="8" customFormat="1" ht="15.75">
      <c r="A26" s="9"/>
      <c r="B26" s="9"/>
      <c r="G26" s="9"/>
      <c r="H26" s="9"/>
      <c r="I26" s="9"/>
      <c r="J26" s="9"/>
    </row>
    <row r="27" spans="1:17" s="8" customFormat="1" ht="15.75">
      <c r="A27" s="9"/>
      <c r="B27" s="9"/>
      <c r="G27" s="9"/>
      <c r="H27" s="9"/>
      <c r="I27" s="9"/>
      <c r="J27" s="9"/>
    </row>
    <row r="28" spans="1:17" s="8" customFormat="1" ht="15.75">
      <c r="A28" s="9"/>
      <c r="B28" s="9"/>
      <c r="G28" s="9"/>
      <c r="H28" s="9"/>
      <c r="I28" s="9"/>
      <c r="J28" s="9"/>
    </row>
    <row r="29" spans="1:17" s="8" customFormat="1" ht="26.25">
      <c r="A29" s="264" t="s">
        <v>24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6"/>
    </row>
    <row r="30" spans="1:17" s="8" customFormat="1" ht="15.75">
      <c r="A30" s="67"/>
      <c r="B30" s="9"/>
      <c r="G30" s="9"/>
      <c r="H30" s="9"/>
      <c r="I30" s="9"/>
      <c r="J30" s="9"/>
    </row>
    <row r="31" spans="1:17" ht="18.75">
      <c r="A31" s="16"/>
      <c r="C31" s="260" t="s">
        <v>39</v>
      </c>
      <c r="D31" s="260"/>
      <c r="E31" s="260"/>
      <c r="F31" s="260"/>
      <c r="H31" s="261" t="s">
        <v>40</v>
      </c>
      <c r="I31" s="261"/>
      <c r="J31" s="261"/>
      <c r="K31" s="261"/>
      <c r="M31" s="262" t="s">
        <v>41</v>
      </c>
      <c r="N31" s="262"/>
      <c r="O31" s="262"/>
      <c r="P31" s="262"/>
    </row>
    <row r="32" spans="1:17">
      <c r="A32" s="33"/>
      <c r="B32" s="33"/>
      <c r="C32" s="3" t="s">
        <v>17</v>
      </c>
      <c r="D32" s="3">
        <v>0</v>
      </c>
      <c r="E32" s="3">
        <v>2014</v>
      </c>
      <c r="F32" s="18">
        <f>'analise financ ciclo curto'!C9</f>
        <v>-5555.0000000000027</v>
      </c>
      <c r="H32" s="3" t="s">
        <v>17</v>
      </c>
      <c r="I32" s="3">
        <v>0</v>
      </c>
      <c r="J32" s="3">
        <v>2014</v>
      </c>
      <c r="K32" s="18">
        <f>'analise financ ciclo curto'!C10</f>
        <v>-6666.0000000000009</v>
      </c>
      <c r="M32" s="3" t="s">
        <v>17</v>
      </c>
      <c r="N32" s="3">
        <v>0</v>
      </c>
      <c r="O32" s="3">
        <v>2014</v>
      </c>
      <c r="P32" s="18">
        <f>'analise financ ciclo curto'!C11</f>
        <v>-7777</v>
      </c>
    </row>
    <row r="33" spans="1:16" s="4" customFormat="1" ht="11.25">
      <c r="A33" s="6"/>
      <c r="B33" s="6"/>
      <c r="D33" s="5">
        <f>D32+1</f>
        <v>1</v>
      </c>
      <c r="E33" s="5">
        <f t="shared" ref="E33:E51" si="0">E32+1</f>
        <v>2015</v>
      </c>
      <c r="F33" s="44">
        <v>0</v>
      </c>
      <c r="G33" s="5"/>
      <c r="I33" s="5">
        <f>I32+1</f>
        <v>1</v>
      </c>
      <c r="J33" s="5">
        <f t="shared" ref="J33:J41" si="1">J32+1</f>
        <v>2015</v>
      </c>
      <c r="K33" s="44">
        <v>0</v>
      </c>
      <c r="N33" s="5">
        <f>N32+1</f>
        <v>1</v>
      </c>
      <c r="O33" s="5">
        <f t="shared" ref="O33:O41" si="2">O32+1</f>
        <v>2015</v>
      </c>
      <c r="P33" s="44">
        <v>0</v>
      </c>
    </row>
    <row r="34" spans="1:16" s="4" customFormat="1" ht="11.25">
      <c r="A34" s="66"/>
      <c r="B34" s="6"/>
      <c r="D34" s="5">
        <f t="shared" ref="D34:E53" si="3">D33+1</f>
        <v>2</v>
      </c>
      <c r="E34" s="5">
        <f t="shared" si="0"/>
        <v>2016</v>
      </c>
      <c r="F34" s="44">
        <v>0</v>
      </c>
      <c r="G34" s="45"/>
      <c r="I34" s="5">
        <f t="shared" ref="I34:I41" si="4">I33+1</f>
        <v>2</v>
      </c>
      <c r="J34" s="5">
        <f t="shared" si="1"/>
        <v>2016</v>
      </c>
      <c r="K34" s="44">
        <v>0</v>
      </c>
      <c r="N34" s="5">
        <f t="shared" ref="N34:N41" si="5">N33+1</f>
        <v>2</v>
      </c>
      <c r="O34" s="5">
        <f t="shared" si="2"/>
        <v>2016</v>
      </c>
      <c r="P34" s="44">
        <v>0</v>
      </c>
    </row>
    <row r="35" spans="1:16" s="4" customFormat="1" ht="11.25">
      <c r="A35" s="66"/>
      <c r="B35" s="6"/>
      <c r="D35" s="5">
        <f t="shared" si="3"/>
        <v>3</v>
      </c>
      <c r="E35" s="5">
        <f t="shared" si="0"/>
        <v>2017</v>
      </c>
      <c r="F35" s="44">
        <v>0</v>
      </c>
      <c r="G35" s="45"/>
      <c r="I35" s="5">
        <f t="shared" si="4"/>
        <v>3</v>
      </c>
      <c r="J35" s="5">
        <f t="shared" si="1"/>
        <v>2017</v>
      </c>
      <c r="K35" s="44">
        <v>0</v>
      </c>
      <c r="N35" s="5">
        <f t="shared" si="5"/>
        <v>3</v>
      </c>
      <c r="O35" s="5">
        <f t="shared" si="2"/>
        <v>2017</v>
      </c>
      <c r="P35" s="44">
        <v>0</v>
      </c>
    </row>
    <row r="36" spans="1:16" s="4" customFormat="1">
      <c r="A36" s="66"/>
      <c r="B36" s="6"/>
      <c r="C36" s="3" t="s">
        <v>49</v>
      </c>
      <c r="D36" s="50">
        <f t="shared" si="3"/>
        <v>4</v>
      </c>
      <c r="E36" s="50">
        <f t="shared" si="0"/>
        <v>2018</v>
      </c>
      <c r="F36" s="51">
        <f>F13*K13</f>
        <v>1350</v>
      </c>
      <c r="G36" s="45"/>
      <c r="H36" s="3" t="s">
        <v>49</v>
      </c>
      <c r="I36" s="50">
        <f t="shared" si="4"/>
        <v>4</v>
      </c>
      <c r="J36" s="50">
        <f t="shared" si="1"/>
        <v>2018</v>
      </c>
      <c r="K36" s="51">
        <f>F36</f>
        <v>1350</v>
      </c>
      <c r="M36" s="3" t="s">
        <v>49</v>
      </c>
      <c r="N36" s="50">
        <f t="shared" si="5"/>
        <v>4</v>
      </c>
      <c r="O36" s="50">
        <f t="shared" si="2"/>
        <v>2018</v>
      </c>
      <c r="P36" s="51">
        <f>F36</f>
        <v>1350</v>
      </c>
    </row>
    <row r="37" spans="1:16" s="4" customFormat="1">
      <c r="A37" s="5"/>
      <c r="B37" s="5"/>
      <c r="C37" s="89" t="s">
        <v>42</v>
      </c>
      <c r="D37" s="13">
        <f t="shared" si="3"/>
        <v>5</v>
      </c>
      <c r="E37" s="13">
        <f t="shared" si="0"/>
        <v>2019</v>
      </c>
      <c r="F37" s="53">
        <v>-500</v>
      </c>
      <c r="G37" s="5"/>
      <c r="H37" s="89" t="s">
        <v>42</v>
      </c>
      <c r="I37" s="13">
        <f t="shared" si="4"/>
        <v>5</v>
      </c>
      <c r="J37" s="13">
        <f t="shared" si="1"/>
        <v>2019</v>
      </c>
      <c r="K37" s="53">
        <v>-1000</v>
      </c>
      <c r="M37" s="89" t="s">
        <v>42</v>
      </c>
      <c r="N37" s="13">
        <f t="shared" si="5"/>
        <v>5</v>
      </c>
      <c r="O37" s="13">
        <f t="shared" si="2"/>
        <v>2019</v>
      </c>
      <c r="P37" s="53">
        <v>-1500</v>
      </c>
    </row>
    <row r="38" spans="1:16" s="4" customFormat="1">
      <c r="B38" s="5"/>
      <c r="C38" s="58"/>
      <c r="D38" s="58">
        <f t="shared" si="3"/>
        <v>6</v>
      </c>
      <c r="E38" s="58">
        <f t="shared" si="0"/>
        <v>2020</v>
      </c>
      <c r="F38" s="88">
        <f>D17*O17</f>
        <v>0</v>
      </c>
      <c r="G38" s="13"/>
      <c r="H38" s="58"/>
      <c r="I38" s="58">
        <f t="shared" si="4"/>
        <v>6</v>
      </c>
      <c r="J38" s="58">
        <f t="shared" si="1"/>
        <v>2020</v>
      </c>
      <c r="K38" s="88">
        <f>I17*T17</f>
        <v>0</v>
      </c>
      <c r="L38" s="52"/>
      <c r="M38" s="58"/>
      <c r="N38" s="58">
        <f t="shared" si="5"/>
        <v>6</v>
      </c>
      <c r="O38" s="58">
        <f t="shared" si="2"/>
        <v>2020</v>
      </c>
      <c r="P38" s="44">
        <v>0</v>
      </c>
    </row>
    <row r="39" spans="1:16" s="4" customFormat="1">
      <c r="B39" s="5"/>
      <c r="C39" s="58"/>
      <c r="D39" s="58">
        <f t="shared" si="3"/>
        <v>7</v>
      </c>
      <c r="E39" s="58">
        <f t="shared" si="0"/>
        <v>2021</v>
      </c>
      <c r="F39" s="88"/>
      <c r="G39" s="13"/>
      <c r="H39" s="58"/>
      <c r="I39" s="58">
        <f t="shared" si="4"/>
        <v>7</v>
      </c>
      <c r="J39" s="58">
        <f t="shared" si="1"/>
        <v>2021</v>
      </c>
      <c r="K39" s="88"/>
      <c r="L39" s="52"/>
      <c r="M39" s="58"/>
      <c r="N39" s="58">
        <f t="shared" si="5"/>
        <v>7</v>
      </c>
      <c r="O39" s="58">
        <f t="shared" si="2"/>
        <v>2021</v>
      </c>
      <c r="P39" s="44">
        <v>0</v>
      </c>
    </row>
    <row r="40" spans="1:16" s="4" customFormat="1">
      <c r="B40" s="5"/>
      <c r="C40" s="3" t="s">
        <v>50</v>
      </c>
      <c r="D40" s="50">
        <f t="shared" si="3"/>
        <v>8</v>
      </c>
      <c r="E40" s="50">
        <f t="shared" si="0"/>
        <v>2022</v>
      </c>
      <c r="F40" s="51">
        <f>F15*K15</f>
        <v>2700</v>
      </c>
      <c r="G40" s="5"/>
      <c r="H40" s="3" t="s">
        <v>50</v>
      </c>
      <c r="I40" s="50">
        <f t="shared" si="4"/>
        <v>8</v>
      </c>
      <c r="J40" s="50">
        <f t="shared" si="1"/>
        <v>2022</v>
      </c>
      <c r="K40" s="51">
        <f>F40</f>
        <v>2700</v>
      </c>
      <c r="M40" s="3" t="s">
        <v>50</v>
      </c>
      <c r="N40" s="50">
        <f t="shared" si="5"/>
        <v>8</v>
      </c>
      <c r="O40" s="50">
        <f t="shared" si="2"/>
        <v>2022</v>
      </c>
      <c r="P40" s="51">
        <f>F40</f>
        <v>2700</v>
      </c>
    </row>
    <row r="41" spans="1:16" s="4" customFormat="1">
      <c r="B41" s="5"/>
      <c r="C41" s="89" t="s">
        <v>42</v>
      </c>
      <c r="D41" s="13">
        <f t="shared" si="3"/>
        <v>9</v>
      </c>
      <c r="E41" s="13">
        <f t="shared" si="0"/>
        <v>2023</v>
      </c>
      <c r="F41" s="53">
        <f>F37</f>
        <v>-500</v>
      </c>
      <c r="G41" s="5"/>
      <c r="H41" s="89" t="s">
        <v>42</v>
      </c>
      <c r="I41" s="13">
        <f t="shared" si="4"/>
        <v>9</v>
      </c>
      <c r="J41" s="13">
        <f t="shared" si="1"/>
        <v>2023</v>
      </c>
      <c r="K41" s="53">
        <f>K37</f>
        <v>-1000</v>
      </c>
      <c r="M41" s="89" t="s">
        <v>42</v>
      </c>
      <c r="N41" s="13">
        <f t="shared" si="5"/>
        <v>9</v>
      </c>
      <c r="O41" s="13">
        <f t="shared" si="2"/>
        <v>2023</v>
      </c>
      <c r="P41" s="53">
        <f>P37</f>
        <v>-1500</v>
      </c>
    </row>
    <row r="42" spans="1:16" s="4" customFormat="1" ht="11.25">
      <c r="B42" s="5"/>
      <c r="C42" s="5"/>
      <c r="D42" s="5">
        <f t="shared" si="3"/>
        <v>10</v>
      </c>
      <c r="E42" s="5">
        <f t="shared" si="0"/>
        <v>2024</v>
      </c>
      <c r="F42" s="48">
        <v>0</v>
      </c>
      <c r="G42" s="5"/>
      <c r="H42" s="5"/>
      <c r="I42" s="5">
        <f t="shared" ref="I42:I49" si="6">I41+1</f>
        <v>10</v>
      </c>
      <c r="J42" s="5">
        <f t="shared" ref="J42:J49" si="7">J41+1</f>
        <v>2024</v>
      </c>
      <c r="K42" s="48">
        <v>0</v>
      </c>
      <c r="M42" s="5"/>
      <c r="N42" s="5">
        <f t="shared" ref="N42:N45" si="8">N41+1</f>
        <v>10</v>
      </c>
      <c r="O42" s="5">
        <f t="shared" ref="O42:O45" si="9">O41+1</f>
        <v>2024</v>
      </c>
      <c r="P42" s="48">
        <v>0</v>
      </c>
    </row>
    <row r="43" spans="1:16" s="4" customFormat="1" ht="11.25">
      <c r="A43" s="5"/>
      <c r="B43" s="5"/>
      <c r="C43" s="5"/>
      <c r="D43" s="5">
        <f t="shared" si="3"/>
        <v>11</v>
      </c>
      <c r="E43" s="5">
        <f t="shared" si="0"/>
        <v>2025</v>
      </c>
      <c r="F43" s="48">
        <v>0</v>
      </c>
      <c r="G43" s="5"/>
      <c r="H43" s="5"/>
      <c r="I43" s="5">
        <f t="shared" si="6"/>
        <v>11</v>
      </c>
      <c r="J43" s="5">
        <f t="shared" si="7"/>
        <v>2025</v>
      </c>
      <c r="K43" s="48">
        <v>0</v>
      </c>
      <c r="M43" s="5"/>
      <c r="N43" s="5">
        <f t="shared" si="8"/>
        <v>11</v>
      </c>
      <c r="O43" s="5">
        <f t="shared" si="9"/>
        <v>2025</v>
      </c>
      <c r="P43" s="48">
        <v>0</v>
      </c>
    </row>
    <row r="44" spans="1:16" s="4" customFormat="1">
      <c r="A44" s="5"/>
      <c r="B44" s="5"/>
      <c r="C44" s="5"/>
      <c r="D44" s="5">
        <f t="shared" si="3"/>
        <v>12</v>
      </c>
      <c r="E44" s="5">
        <f t="shared" si="0"/>
        <v>2026</v>
      </c>
      <c r="F44" s="48">
        <v>0</v>
      </c>
      <c r="G44" s="13"/>
      <c r="H44" s="5"/>
      <c r="I44" s="5">
        <f t="shared" si="6"/>
        <v>12</v>
      </c>
      <c r="J44" s="5">
        <f t="shared" si="7"/>
        <v>2026</v>
      </c>
      <c r="K44" s="48">
        <f>E18*O17</f>
        <v>0</v>
      </c>
      <c r="L44" s="52"/>
      <c r="M44" s="94" t="s">
        <v>51</v>
      </c>
      <c r="N44" s="95">
        <f t="shared" si="8"/>
        <v>12</v>
      </c>
      <c r="O44" s="50">
        <f t="shared" si="9"/>
        <v>2026</v>
      </c>
      <c r="P44" s="51">
        <f>$F$17*$K$17</f>
        <v>60000</v>
      </c>
    </row>
    <row r="45" spans="1:16" s="4" customFormat="1">
      <c r="A45" s="49"/>
      <c r="B45" s="5"/>
      <c r="C45" s="13"/>
      <c r="D45" s="13">
        <f t="shared" si="3"/>
        <v>13</v>
      </c>
      <c r="E45" s="13">
        <f t="shared" si="0"/>
        <v>2027</v>
      </c>
      <c r="F45" s="48">
        <v>0</v>
      </c>
      <c r="G45" s="13"/>
      <c r="H45" s="5"/>
      <c r="I45" s="5">
        <f t="shared" si="6"/>
        <v>13</v>
      </c>
      <c r="J45" s="5">
        <f t="shared" si="7"/>
        <v>2027</v>
      </c>
      <c r="K45" s="48">
        <f>K39</f>
        <v>0</v>
      </c>
      <c r="L45" s="52"/>
      <c r="M45" s="5" t="s">
        <v>19</v>
      </c>
      <c r="N45" s="5">
        <f t="shared" si="8"/>
        <v>13</v>
      </c>
      <c r="O45" s="5">
        <f t="shared" si="9"/>
        <v>2027</v>
      </c>
      <c r="P45" s="48"/>
    </row>
    <row r="46" spans="1:16" s="4" customFormat="1" ht="11.25">
      <c r="A46" s="5"/>
      <c r="B46" s="5"/>
      <c r="C46" s="5"/>
      <c r="D46" s="5">
        <f t="shared" si="3"/>
        <v>14</v>
      </c>
      <c r="E46" s="5">
        <f t="shared" si="0"/>
        <v>2028</v>
      </c>
      <c r="F46" s="48">
        <v>0</v>
      </c>
      <c r="G46" s="5"/>
      <c r="H46" s="5"/>
      <c r="I46" s="5">
        <f t="shared" si="6"/>
        <v>14</v>
      </c>
      <c r="J46" s="5">
        <f t="shared" si="7"/>
        <v>2028</v>
      </c>
      <c r="K46" s="48">
        <v>0</v>
      </c>
      <c r="M46" s="5"/>
      <c r="N46" s="5"/>
      <c r="O46" s="5"/>
      <c r="P46" s="48"/>
    </row>
    <row r="47" spans="1:16" s="4" customFormat="1" ht="11.25">
      <c r="A47" s="5"/>
      <c r="B47" s="5"/>
      <c r="C47" s="5"/>
      <c r="D47" s="5">
        <f t="shared" si="3"/>
        <v>15</v>
      </c>
      <c r="E47" s="5">
        <f t="shared" si="0"/>
        <v>2029</v>
      </c>
      <c r="F47" s="48">
        <v>0</v>
      </c>
      <c r="G47" s="5"/>
      <c r="H47" s="5"/>
      <c r="I47" s="5">
        <f t="shared" si="6"/>
        <v>15</v>
      </c>
      <c r="J47" s="5">
        <f t="shared" si="7"/>
        <v>2029</v>
      </c>
      <c r="K47" s="48">
        <v>0</v>
      </c>
      <c r="M47" s="5"/>
      <c r="N47" s="5"/>
      <c r="O47" s="5"/>
      <c r="P47" s="48"/>
    </row>
    <row r="48" spans="1:16" s="4" customFormat="1">
      <c r="A48" s="5"/>
      <c r="B48" s="5"/>
      <c r="C48" s="5"/>
      <c r="D48" s="5">
        <f t="shared" si="3"/>
        <v>16</v>
      </c>
      <c r="E48" s="5">
        <f t="shared" si="0"/>
        <v>2030</v>
      </c>
      <c r="F48" s="48">
        <v>0</v>
      </c>
      <c r="G48" s="5"/>
      <c r="H48" s="94" t="s">
        <v>51</v>
      </c>
      <c r="I48" s="95">
        <f>I47+1</f>
        <v>16</v>
      </c>
      <c r="J48" s="50">
        <f>J47+1</f>
        <v>2030</v>
      </c>
      <c r="K48" s="51">
        <f>$F$17*$K$17</f>
        <v>60000</v>
      </c>
      <c r="M48" s="5"/>
      <c r="N48" s="5"/>
      <c r="O48" s="5"/>
      <c r="P48" s="48"/>
    </row>
    <row r="49" spans="1:16" s="4" customFormat="1" ht="11.25">
      <c r="A49" s="5"/>
      <c r="B49" s="5"/>
      <c r="C49" s="5"/>
      <c r="D49" s="5">
        <f t="shared" si="3"/>
        <v>17</v>
      </c>
      <c r="E49" s="5">
        <f t="shared" si="0"/>
        <v>2031</v>
      </c>
      <c r="F49" s="48">
        <v>0</v>
      </c>
      <c r="G49" s="5"/>
      <c r="H49" s="5" t="s">
        <v>19</v>
      </c>
      <c r="I49" s="5">
        <f t="shared" si="6"/>
        <v>17</v>
      </c>
      <c r="J49" s="5">
        <f t="shared" si="7"/>
        <v>2031</v>
      </c>
      <c r="K49" s="48"/>
      <c r="M49" s="5"/>
      <c r="N49" s="5"/>
      <c r="O49" s="5"/>
      <c r="P49" s="48"/>
    </row>
    <row r="50" spans="1:16" s="4" customFormat="1">
      <c r="A50" s="5"/>
      <c r="B50" s="5"/>
      <c r="C50" s="5"/>
      <c r="D50" s="5">
        <f t="shared" si="3"/>
        <v>18</v>
      </c>
      <c r="E50" s="5">
        <f t="shared" si="0"/>
        <v>2032</v>
      </c>
      <c r="F50" s="48">
        <v>0</v>
      </c>
      <c r="G50" s="13"/>
      <c r="H50" s="5"/>
      <c r="I50" s="5"/>
      <c r="J50" s="5"/>
      <c r="K50" s="48"/>
      <c r="L50" s="52"/>
      <c r="M50" s="5"/>
      <c r="N50" s="5"/>
      <c r="O50" s="5"/>
      <c r="P50" s="48"/>
    </row>
    <row r="51" spans="1:16" s="4" customFormat="1" ht="11.25">
      <c r="A51" s="5"/>
      <c r="B51" s="5"/>
      <c r="C51" s="5"/>
      <c r="D51" s="5">
        <f t="shared" si="3"/>
        <v>19</v>
      </c>
      <c r="E51" s="5">
        <f t="shared" si="0"/>
        <v>2033</v>
      </c>
      <c r="F51" s="48">
        <v>0</v>
      </c>
      <c r="G51" s="5"/>
      <c r="H51" s="5"/>
      <c r="I51" s="5"/>
      <c r="J51" s="5"/>
      <c r="K51" s="48"/>
      <c r="M51" s="5"/>
      <c r="N51" s="5"/>
      <c r="O51" s="5"/>
      <c r="P51" s="48"/>
    </row>
    <row r="52" spans="1:16">
      <c r="C52" s="94" t="s">
        <v>51</v>
      </c>
      <c r="D52" s="95">
        <f>D51+1</f>
        <v>20</v>
      </c>
      <c r="E52" s="50">
        <f>E51+1</f>
        <v>2034</v>
      </c>
      <c r="F52" s="51">
        <f>$F$17*$K$17</f>
        <v>60000</v>
      </c>
    </row>
    <row r="53" spans="1:16">
      <c r="C53" s="5" t="s">
        <v>19</v>
      </c>
      <c r="D53" s="5">
        <f t="shared" si="3"/>
        <v>21</v>
      </c>
      <c r="E53" s="5">
        <f t="shared" si="3"/>
        <v>2035</v>
      </c>
      <c r="F53" s="12"/>
    </row>
    <row r="54" spans="1:16">
      <c r="D54" s="5"/>
      <c r="F54" s="12"/>
    </row>
    <row r="55" spans="1:16">
      <c r="D55" s="5"/>
      <c r="F55" s="12"/>
    </row>
    <row r="56" spans="1:16">
      <c r="D56" s="5"/>
      <c r="F56" s="12"/>
    </row>
    <row r="57" spans="1:16">
      <c r="F57" s="12"/>
    </row>
    <row r="58" spans="1:16">
      <c r="F58" s="12"/>
    </row>
    <row r="59" spans="1:16">
      <c r="F59" s="12"/>
    </row>
    <row r="60" spans="1:16">
      <c r="F60" s="12"/>
    </row>
    <row r="61" spans="1:16">
      <c r="F61" s="12"/>
    </row>
    <row r="62" spans="1:16">
      <c r="F62" s="12"/>
    </row>
    <row r="63" spans="1:16">
      <c r="F63" s="12"/>
    </row>
    <row r="64" spans="1:16">
      <c r="F64" s="12"/>
    </row>
    <row r="65" spans="1:17">
      <c r="F65" s="12"/>
    </row>
    <row r="66" spans="1:17">
      <c r="F66" s="12"/>
    </row>
    <row r="67" spans="1:17" ht="33.75" customHeight="1">
      <c r="A67" s="264" t="s">
        <v>73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6"/>
    </row>
    <row r="68" spans="1:17">
      <c r="F68" s="12"/>
    </row>
    <row r="69" spans="1:17">
      <c r="F69" s="12"/>
    </row>
    <row r="70" spans="1:17">
      <c r="F70" s="12"/>
    </row>
    <row r="71" spans="1:17" ht="18.75">
      <c r="C71" s="270" t="s">
        <v>20</v>
      </c>
      <c r="D71" s="270"/>
      <c r="E71" s="270"/>
      <c r="F71" s="270"/>
      <c r="H71" s="280" t="s">
        <v>21</v>
      </c>
      <c r="I71" s="280"/>
      <c r="J71" s="280"/>
      <c r="K71" s="280"/>
      <c r="M71" s="281" t="s">
        <v>22</v>
      </c>
      <c r="N71" s="281"/>
      <c r="O71" s="281"/>
      <c r="P71" s="281"/>
    </row>
    <row r="72" spans="1:17" s="146" customFormat="1">
      <c r="A72" s="16"/>
      <c r="B72" s="16"/>
      <c r="C72" s="16"/>
      <c r="D72" s="16"/>
      <c r="E72" s="16"/>
      <c r="F72" s="15"/>
      <c r="G72" s="16"/>
      <c r="H72" s="16"/>
      <c r="I72" s="16"/>
      <c r="J72" s="16"/>
      <c r="K72" s="15"/>
      <c r="L72" s="16"/>
      <c r="M72" s="16"/>
      <c r="N72" s="16"/>
      <c r="O72" s="16"/>
      <c r="P72" s="15"/>
      <c r="Q72" s="16"/>
    </row>
    <row r="73" spans="1:17" s="146" customFormat="1">
      <c r="A73" s="16"/>
      <c r="B73" s="16"/>
      <c r="C73" s="151" t="s">
        <v>111</v>
      </c>
      <c r="D73" s="152"/>
      <c r="E73" s="162"/>
      <c r="F73" s="163">
        <v>0.1</v>
      </c>
      <c r="G73" s="1"/>
      <c r="H73" s="151" t="s">
        <v>111</v>
      </c>
      <c r="I73" s="152"/>
      <c r="J73" s="162"/>
      <c r="K73" s="163">
        <v>0.1</v>
      </c>
      <c r="L73" s="1"/>
      <c r="M73" s="151" t="s">
        <v>111</v>
      </c>
      <c r="N73" s="152"/>
      <c r="O73" s="162"/>
      <c r="P73" s="163">
        <v>0.1</v>
      </c>
      <c r="Q73" s="16"/>
    </row>
    <row r="74" spans="1:17" s="146" customFormat="1">
      <c r="A74" s="16"/>
      <c r="B74" s="16"/>
      <c r="C74" s="153"/>
      <c r="D74" s="154"/>
      <c r="E74" s="153"/>
      <c r="F74" s="156"/>
      <c r="G74" s="2"/>
      <c r="H74" s="153"/>
      <c r="I74" s="154"/>
      <c r="J74" s="153"/>
      <c r="K74" s="156"/>
      <c r="L74" s="2"/>
      <c r="M74" s="153"/>
      <c r="N74" s="154"/>
      <c r="O74" s="153"/>
      <c r="P74" s="156"/>
      <c r="Q74" s="16"/>
    </row>
    <row r="75" spans="1:17">
      <c r="C75" s="155" t="s">
        <v>117</v>
      </c>
      <c r="D75" s="156"/>
      <c r="E75" s="153"/>
      <c r="F75" s="156">
        <f>D52</f>
        <v>20</v>
      </c>
      <c r="G75" s="16"/>
      <c r="H75" s="155" t="s">
        <v>117</v>
      </c>
      <c r="I75" s="156"/>
      <c r="J75" s="153"/>
      <c r="K75" s="156">
        <f>I48</f>
        <v>16</v>
      </c>
      <c r="L75" s="16"/>
      <c r="M75" s="155" t="s">
        <v>117</v>
      </c>
      <c r="N75" s="156"/>
      <c r="O75" s="153"/>
      <c r="P75" s="156">
        <f>N44</f>
        <v>12</v>
      </c>
    </row>
    <row r="76" spans="1:17">
      <c r="C76" s="155"/>
      <c r="D76" s="156"/>
      <c r="E76" s="155"/>
      <c r="F76" s="156"/>
      <c r="H76" s="155"/>
      <c r="I76" s="156"/>
      <c r="J76" s="155"/>
      <c r="K76" s="156"/>
      <c r="L76" s="1"/>
      <c r="M76" s="155"/>
      <c r="N76" s="156"/>
      <c r="O76" s="155"/>
      <c r="P76" s="156"/>
      <c r="Q76" s="1"/>
    </row>
    <row r="77" spans="1:17">
      <c r="C77" s="157" t="s">
        <v>23</v>
      </c>
      <c r="D77" s="158"/>
      <c r="E77" s="155"/>
      <c r="F77" s="164">
        <f>F32</f>
        <v>-5555.0000000000027</v>
      </c>
      <c r="H77" s="157" t="s">
        <v>23</v>
      </c>
      <c r="I77" s="158"/>
      <c r="J77" s="155"/>
      <c r="K77" s="164">
        <f>K32</f>
        <v>-6666.0000000000009</v>
      </c>
      <c r="L77" s="1"/>
      <c r="M77" s="157" t="s">
        <v>23</v>
      </c>
      <c r="N77" s="158"/>
      <c r="O77" s="155"/>
      <c r="P77" s="164">
        <f>P32</f>
        <v>-7777</v>
      </c>
      <c r="Q77" s="1"/>
    </row>
    <row r="78" spans="1:17">
      <c r="C78" s="155"/>
      <c r="D78" s="156"/>
      <c r="E78" s="155"/>
      <c r="F78" s="156"/>
      <c r="H78" s="155"/>
      <c r="I78" s="156"/>
      <c r="J78" s="155"/>
      <c r="K78" s="156"/>
      <c r="L78" s="1"/>
      <c r="M78" s="155"/>
      <c r="N78" s="156"/>
      <c r="O78" s="155"/>
      <c r="P78" s="156"/>
      <c r="Q78" s="1"/>
    </row>
    <row r="79" spans="1:17">
      <c r="C79" s="159" t="s">
        <v>120</v>
      </c>
      <c r="D79" s="156"/>
      <c r="E79" s="155"/>
      <c r="F79" s="170">
        <f>(NPV(F73,F101:F120))</f>
        <v>10577.746302041913</v>
      </c>
      <c r="G79" s="145"/>
      <c r="H79" s="159" t="s">
        <v>120</v>
      </c>
      <c r="I79" s="156"/>
      <c r="J79" s="155"/>
      <c r="K79" s="170">
        <f>(NPV(K73,K101:K116))</f>
        <v>14194.367297286393</v>
      </c>
      <c r="L79" s="145"/>
      <c r="M79" s="159" t="s">
        <v>120</v>
      </c>
      <c r="N79" s="156"/>
      <c r="O79" s="155"/>
      <c r="P79" s="170">
        <f>(NPV(P73,P101:P112))</f>
        <v>19731.958741783055</v>
      </c>
      <c r="Q79" s="1"/>
    </row>
    <row r="80" spans="1:17">
      <c r="C80" s="155"/>
      <c r="D80" s="156"/>
      <c r="E80" s="155"/>
      <c r="F80" s="156"/>
      <c r="H80" s="155"/>
      <c r="I80" s="156"/>
      <c r="J80" s="155"/>
      <c r="K80" s="156"/>
      <c r="L80" s="1"/>
      <c r="M80" s="155"/>
      <c r="N80" s="156"/>
      <c r="O80" s="155"/>
      <c r="P80" s="156"/>
      <c r="Q80" s="1"/>
    </row>
    <row r="81" spans="1:17">
      <c r="C81" s="159" t="s">
        <v>121</v>
      </c>
      <c r="D81" s="156"/>
      <c r="E81" s="166"/>
      <c r="F81" s="167">
        <f>F79+F77</f>
        <v>5022.74630204191</v>
      </c>
      <c r="G81" s="150"/>
      <c r="H81" s="159" t="s">
        <v>121</v>
      </c>
      <c r="I81" s="156"/>
      <c r="J81" s="166"/>
      <c r="K81" s="167">
        <f>K79+K77</f>
        <v>7528.3672972863924</v>
      </c>
      <c r="L81" s="150"/>
      <c r="M81" s="159" t="s">
        <v>121</v>
      </c>
      <c r="N81" s="156"/>
      <c r="O81" s="166"/>
      <c r="P81" s="167">
        <f>P79+P77</f>
        <v>11954.958741783055</v>
      </c>
      <c r="Q81" s="1"/>
    </row>
    <row r="82" spans="1:17">
      <c r="C82" s="155"/>
      <c r="D82" s="156"/>
      <c r="E82" s="155"/>
      <c r="F82" s="156"/>
      <c r="G82" s="16"/>
      <c r="H82" s="155"/>
      <c r="I82" s="156"/>
      <c r="J82" s="155"/>
      <c r="K82" s="156"/>
      <c r="L82" s="16"/>
      <c r="M82" s="155"/>
      <c r="N82" s="156"/>
      <c r="O82" s="155"/>
      <c r="P82" s="156"/>
      <c r="Q82" s="1"/>
    </row>
    <row r="83" spans="1:17">
      <c r="C83" s="159" t="s">
        <v>118</v>
      </c>
      <c r="D83" s="156"/>
      <c r="E83" s="155"/>
      <c r="F83" s="168">
        <f>IRR(F32:F52)</f>
        <v>0.15047071173909946</v>
      </c>
      <c r="G83" s="146"/>
      <c r="H83" s="159" t="s">
        <v>118</v>
      </c>
      <c r="I83" s="156"/>
      <c r="J83" s="155"/>
      <c r="K83" s="168">
        <f>IRR(K32:K48)</f>
        <v>0.16879384287831323</v>
      </c>
      <c r="L83" s="146"/>
      <c r="M83" s="159" t="s">
        <v>118</v>
      </c>
      <c r="N83" s="156"/>
      <c r="O83" s="155"/>
      <c r="P83" s="168">
        <f>IRR(P32:P44)</f>
        <v>0.19086139819500775</v>
      </c>
      <c r="Q83" s="1"/>
    </row>
    <row r="84" spans="1:17">
      <c r="C84" s="155"/>
      <c r="D84" s="156"/>
      <c r="E84" s="155"/>
      <c r="F84" s="156"/>
      <c r="G84" s="16"/>
      <c r="H84" s="155"/>
      <c r="I84" s="156"/>
      <c r="J84" s="155"/>
      <c r="K84" s="156"/>
      <c r="L84" s="16"/>
      <c r="M84" s="155"/>
      <c r="N84" s="156"/>
      <c r="O84" s="155"/>
      <c r="P84" s="156"/>
      <c r="Q84" s="1"/>
    </row>
    <row r="85" spans="1:17">
      <c r="C85" s="155"/>
      <c r="D85" s="156"/>
      <c r="E85" s="155"/>
      <c r="F85" s="169"/>
      <c r="H85" s="155"/>
      <c r="I85" s="156"/>
      <c r="J85" s="155"/>
      <c r="K85" s="169"/>
      <c r="L85" s="1"/>
      <c r="M85" s="155"/>
      <c r="N85" s="156"/>
      <c r="O85" s="155"/>
      <c r="P85" s="169"/>
      <c r="Q85" s="122"/>
    </row>
    <row r="86" spans="1:17" ht="18.75">
      <c r="C86" s="160" t="s">
        <v>33</v>
      </c>
      <c r="D86" s="161"/>
      <c r="E86" s="277" t="s">
        <v>119</v>
      </c>
      <c r="F86" s="278"/>
      <c r="G86" s="147"/>
      <c r="H86" s="160" t="s">
        <v>33</v>
      </c>
      <c r="I86" s="161"/>
      <c r="J86" s="277" t="s">
        <v>119</v>
      </c>
      <c r="K86" s="278"/>
      <c r="L86" s="147"/>
      <c r="M86" s="160" t="s">
        <v>33</v>
      </c>
      <c r="N86" s="161"/>
      <c r="O86" s="277" t="s">
        <v>36</v>
      </c>
      <c r="P86" s="278"/>
      <c r="Q86" s="1"/>
    </row>
    <row r="87" spans="1:17" s="149" customFormat="1" ht="18.75">
      <c r="A87" s="147"/>
      <c r="B87" s="147"/>
      <c r="C87" s="147"/>
      <c r="D87" s="147"/>
      <c r="E87" s="148"/>
      <c r="F87" s="147"/>
      <c r="G87" s="147"/>
      <c r="H87" s="147"/>
      <c r="I87" s="147"/>
      <c r="J87" s="148"/>
      <c r="K87" s="147"/>
      <c r="L87" s="147"/>
      <c r="M87" s="147"/>
      <c r="N87" s="147"/>
      <c r="O87" s="148"/>
      <c r="P87" s="147"/>
      <c r="Q87" s="147"/>
    </row>
    <row r="88" spans="1:17">
      <c r="C88" s="16"/>
      <c r="D88" s="16"/>
      <c r="E88" s="16"/>
      <c r="F88" s="16"/>
      <c r="K88" s="1"/>
      <c r="L88" s="1"/>
      <c r="M88" s="1"/>
      <c r="N88" s="1"/>
      <c r="O88" s="1"/>
      <c r="P88" s="1"/>
      <c r="Q88" s="1"/>
    </row>
    <row r="89" spans="1:17">
      <c r="K89" s="1"/>
      <c r="L89" s="1"/>
      <c r="M89" s="1"/>
      <c r="N89" s="1"/>
      <c r="O89" s="1"/>
      <c r="P89" s="1"/>
      <c r="Q89" s="1"/>
    </row>
    <row r="90" spans="1:17">
      <c r="K90" s="1"/>
      <c r="L90" s="1"/>
      <c r="M90" s="1"/>
      <c r="N90" s="1"/>
      <c r="O90" s="1"/>
      <c r="P90" s="1"/>
      <c r="Q90" s="1"/>
    </row>
    <row r="91" spans="1:17">
      <c r="K91" s="1"/>
      <c r="L91" s="1"/>
      <c r="M91" s="1"/>
      <c r="N91" s="1"/>
      <c r="O91" s="1"/>
      <c r="P91" s="1"/>
      <c r="Q91" s="1"/>
    </row>
    <row r="92" spans="1:17">
      <c r="K92" s="1"/>
      <c r="L92" s="1"/>
      <c r="M92" s="1"/>
      <c r="N92" s="1"/>
      <c r="O92" s="1"/>
      <c r="P92" s="1"/>
      <c r="Q92" s="1"/>
    </row>
    <row r="93" spans="1:17">
      <c r="K93" s="1"/>
      <c r="L93" s="1"/>
      <c r="M93" s="1"/>
      <c r="N93" s="1"/>
      <c r="O93" s="1"/>
      <c r="P93" s="1"/>
      <c r="Q93" s="1"/>
    </row>
    <row r="94" spans="1:17">
      <c r="K94" s="1"/>
      <c r="L94" s="1"/>
      <c r="M94" s="1"/>
      <c r="N94" s="1"/>
      <c r="O94" s="1"/>
      <c r="P94" s="1"/>
      <c r="Q94" s="1"/>
    </row>
    <row r="95" spans="1:17">
      <c r="K95" s="1"/>
      <c r="L95" s="1"/>
      <c r="M95" s="1"/>
      <c r="N95" s="1"/>
      <c r="O95" s="1"/>
      <c r="P95" s="1"/>
      <c r="Q95" s="1"/>
    </row>
    <row r="96" spans="1:17">
      <c r="K96" s="1"/>
      <c r="L96" s="1"/>
      <c r="M96" s="1"/>
      <c r="N96" s="1"/>
      <c r="O96" s="1"/>
      <c r="P96" s="1"/>
      <c r="Q96" s="1"/>
    </row>
    <row r="97" spans="3:17">
      <c r="K97" s="1"/>
      <c r="L97" s="1"/>
      <c r="M97" s="1"/>
      <c r="N97" s="1"/>
      <c r="O97" s="1"/>
      <c r="P97" s="1"/>
      <c r="Q97" s="1"/>
    </row>
    <row r="98" spans="3:17" ht="28.5">
      <c r="C98" s="267" t="s">
        <v>25</v>
      </c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9"/>
      <c r="Q98" s="1"/>
    </row>
    <row r="99" spans="3:17">
      <c r="K99" s="1"/>
      <c r="L99" s="1"/>
      <c r="M99" s="1"/>
      <c r="N99" s="1"/>
      <c r="O99" s="1"/>
      <c r="P99" s="1"/>
      <c r="Q99" s="1"/>
    </row>
    <row r="100" spans="3:17">
      <c r="C100" s="16" t="str">
        <f>C32</f>
        <v>PLANTIO</v>
      </c>
      <c r="D100" s="16">
        <f>D32</f>
        <v>0</v>
      </c>
      <c r="E100" s="16">
        <f>E32</f>
        <v>2014</v>
      </c>
      <c r="F100" s="55">
        <v>0</v>
      </c>
      <c r="H100" s="16" t="str">
        <f>H32</f>
        <v>PLANTIO</v>
      </c>
      <c r="I100" s="16">
        <f>I32</f>
        <v>0</v>
      </c>
      <c r="J100" s="16">
        <f>J32</f>
        <v>2014</v>
      </c>
      <c r="K100" s="55">
        <v>0</v>
      </c>
      <c r="L100" s="1"/>
      <c r="M100" s="16" t="str">
        <f>M32</f>
        <v>PLANTIO</v>
      </c>
      <c r="N100" s="16">
        <f>N32</f>
        <v>0</v>
      </c>
      <c r="O100" s="16">
        <f>O32</f>
        <v>2014</v>
      </c>
      <c r="P100" s="55">
        <v>0</v>
      </c>
      <c r="Q100" s="1"/>
    </row>
    <row r="101" spans="3:17">
      <c r="C101" s="16">
        <f t="shared" ref="C101:F116" si="10">C33</f>
        <v>0</v>
      </c>
      <c r="D101" s="16">
        <f t="shared" si="10"/>
        <v>1</v>
      </c>
      <c r="E101" s="16">
        <f>E33</f>
        <v>2015</v>
      </c>
      <c r="F101" s="55">
        <f t="shared" si="10"/>
        <v>0</v>
      </c>
      <c r="H101" s="16">
        <f t="shared" ref="H101:K116" si="11">H33</f>
        <v>0</v>
      </c>
      <c r="I101" s="16">
        <f t="shared" si="11"/>
        <v>1</v>
      </c>
      <c r="J101" s="16">
        <f t="shared" si="11"/>
        <v>2015</v>
      </c>
      <c r="K101" s="55">
        <f t="shared" si="11"/>
        <v>0</v>
      </c>
      <c r="L101" s="1"/>
      <c r="M101" s="16">
        <f t="shared" ref="M101:P112" si="12">M33</f>
        <v>0</v>
      </c>
      <c r="N101" s="16">
        <f t="shared" si="12"/>
        <v>1</v>
      </c>
      <c r="O101" s="16">
        <f t="shared" si="12"/>
        <v>2015</v>
      </c>
      <c r="P101" s="55">
        <f t="shared" si="12"/>
        <v>0</v>
      </c>
      <c r="Q101" s="1"/>
    </row>
    <row r="102" spans="3:17">
      <c r="C102" s="16">
        <f t="shared" si="10"/>
        <v>0</v>
      </c>
      <c r="D102" s="16">
        <f t="shared" si="10"/>
        <v>2</v>
      </c>
      <c r="E102" s="16">
        <f t="shared" si="10"/>
        <v>2016</v>
      </c>
      <c r="F102" s="55">
        <f t="shared" si="10"/>
        <v>0</v>
      </c>
      <c r="H102" s="16">
        <f t="shared" si="11"/>
        <v>0</v>
      </c>
      <c r="I102" s="16">
        <f t="shared" si="11"/>
        <v>2</v>
      </c>
      <c r="J102" s="16">
        <f t="shared" si="11"/>
        <v>2016</v>
      </c>
      <c r="K102" s="55">
        <f t="shared" si="11"/>
        <v>0</v>
      </c>
      <c r="L102" s="1"/>
      <c r="M102" s="16">
        <f t="shared" si="12"/>
        <v>0</v>
      </c>
      <c r="N102" s="16">
        <f t="shared" si="12"/>
        <v>2</v>
      </c>
      <c r="O102" s="16">
        <f t="shared" si="12"/>
        <v>2016</v>
      </c>
      <c r="P102" s="55">
        <f t="shared" si="12"/>
        <v>0</v>
      </c>
      <c r="Q102" s="1"/>
    </row>
    <row r="103" spans="3:17">
      <c r="C103" s="16">
        <f t="shared" si="10"/>
        <v>0</v>
      </c>
      <c r="D103" s="16">
        <f t="shared" si="10"/>
        <v>3</v>
      </c>
      <c r="E103" s="16">
        <f t="shared" si="10"/>
        <v>2017</v>
      </c>
      <c r="F103" s="55">
        <f t="shared" si="10"/>
        <v>0</v>
      </c>
      <c r="H103" s="16">
        <f t="shared" si="11"/>
        <v>0</v>
      </c>
      <c r="I103" s="16">
        <f t="shared" si="11"/>
        <v>3</v>
      </c>
      <c r="J103" s="16">
        <f t="shared" si="11"/>
        <v>2017</v>
      </c>
      <c r="K103" s="55">
        <f t="shared" si="11"/>
        <v>0</v>
      </c>
      <c r="L103" s="1"/>
      <c r="M103" s="16">
        <f t="shared" si="12"/>
        <v>0</v>
      </c>
      <c r="N103" s="16">
        <f t="shared" si="12"/>
        <v>3</v>
      </c>
      <c r="O103" s="16">
        <f t="shared" si="12"/>
        <v>2017</v>
      </c>
      <c r="P103" s="55">
        <f t="shared" si="12"/>
        <v>0</v>
      </c>
      <c r="Q103" s="1"/>
    </row>
    <row r="104" spans="3:17">
      <c r="C104" s="16" t="str">
        <f t="shared" si="10"/>
        <v>1.º desbaste</v>
      </c>
      <c r="D104" s="16">
        <f t="shared" si="10"/>
        <v>4</v>
      </c>
      <c r="E104" s="16">
        <f t="shared" si="10"/>
        <v>2018</v>
      </c>
      <c r="F104" s="55">
        <f t="shared" si="10"/>
        <v>1350</v>
      </c>
      <c r="H104" s="16" t="str">
        <f t="shared" si="11"/>
        <v>1.º desbaste</v>
      </c>
      <c r="I104" s="16">
        <f t="shared" si="11"/>
        <v>4</v>
      </c>
      <c r="J104" s="16">
        <f t="shared" si="11"/>
        <v>2018</v>
      </c>
      <c r="K104" s="55">
        <f t="shared" si="11"/>
        <v>1350</v>
      </c>
      <c r="L104" s="1"/>
      <c r="M104" s="16" t="str">
        <f t="shared" si="12"/>
        <v>1.º desbaste</v>
      </c>
      <c r="N104" s="16">
        <f t="shared" si="12"/>
        <v>4</v>
      </c>
      <c r="O104" s="16">
        <f t="shared" si="12"/>
        <v>2018</v>
      </c>
      <c r="P104" s="55">
        <f t="shared" si="12"/>
        <v>1350</v>
      </c>
      <c r="Q104" s="1"/>
    </row>
    <row r="105" spans="3:17">
      <c r="C105" s="16" t="str">
        <f t="shared" si="10"/>
        <v>tratos culturais</v>
      </c>
      <c r="D105" s="16">
        <f t="shared" si="10"/>
        <v>5</v>
      </c>
      <c r="E105" s="16">
        <f t="shared" si="10"/>
        <v>2019</v>
      </c>
      <c r="F105" s="43">
        <f t="shared" si="10"/>
        <v>-500</v>
      </c>
      <c r="H105" s="16" t="str">
        <f t="shared" si="11"/>
        <v>tratos culturais</v>
      </c>
      <c r="I105" s="16">
        <f t="shared" si="11"/>
        <v>5</v>
      </c>
      <c r="J105" s="16">
        <f t="shared" si="11"/>
        <v>2019</v>
      </c>
      <c r="K105" s="43">
        <f t="shared" si="11"/>
        <v>-1000</v>
      </c>
      <c r="L105" s="1"/>
      <c r="M105" s="16" t="str">
        <f t="shared" si="12"/>
        <v>tratos culturais</v>
      </c>
      <c r="N105" s="16">
        <f t="shared" si="12"/>
        <v>5</v>
      </c>
      <c r="O105" s="16">
        <f t="shared" si="12"/>
        <v>2019</v>
      </c>
      <c r="P105" s="43">
        <f t="shared" si="12"/>
        <v>-1500</v>
      </c>
      <c r="Q105" s="1"/>
    </row>
    <row r="106" spans="3:17">
      <c r="C106" s="16">
        <f t="shared" si="10"/>
        <v>0</v>
      </c>
      <c r="D106" s="16">
        <f t="shared" si="10"/>
        <v>6</v>
      </c>
      <c r="E106" s="16">
        <f t="shared" si="10"/>
        <v>2020</v>
      </c>
      <c r="F106" s="55">
        <f t="shared" si="10"/>
        <v>0</v>
      </c>
      <c r="H106" s="16">
        <f t="shared" si="11"/>
        <v>0</v>
      </c>
      <c r="I106" s="16">
        <f t="shared" si="11"/>
        <v>6</v>
      </c>
      <c r="J106" s="16">
        <f t="shared" si="11"/>
        <v>2020</v>
      </c>
      <c r="K106" s="55">
        <f t="shared" si="11"/>
        <v>0</v>
      </c>
      <c r="L106" s="1"/>
      <c r="M106" s="16">
        <f t="shared" si="12"/>
        <v>0</v>
      </c>
      <c r="N106" s="16">
        <f t="shared" si="12"/>
        <v>6</v>
      </c>
      <c r="O106" s="16">
        <f t="shared" si="12"/>
        <v>2020</v>
      </c>
      <c r="P106" s="55">
        <f t="shared" si="12"/>
        <v>0</v>
      </c>
      <c r="Q106" s="1"/>
    </row>
    <row r="107" spans="3:17">
      <c r="C107" s="16">
        <f t="shared" si="10"/>
        <v>0</v>
      </c>
      <c r="D107" s="16">
        <f t="shared" si="10"/>
        <v>7</v>
      </c>
      <c r="E107" s="16">
        <f t="shared" si="10"/>
        <v>2021</v>
      </c>
      <c r="F107" s="55">
        <f t="shared" si="10"/>
        <v>0</v>
      </c>
      <c r="H107" s="16">
        <f t="shared" si="11"/>
        <v>0</v>
      </c>
      <c r="I107" s="16">
        <f t="shared" si="11"/>
        <v>7</v>
      </c>
      <c r="J107" s="16">
        <f t="shared" si="11"/>
        <v>2021</v>
      </c>
      <c r="K107" s="55">
        <f t="shared" si="11"/>
        <v>0</v>
      </c>
      <c r="L107" s="1"/>
      <c r="M107" s="16">
        <f t="shared" si="12"/>
        <v>0</v>
      </c>
      <c r="N107" s="16">
        <f t="shared" si="12"/>
        <v>7</v>
      </c>
      <c r="O107" s="16">
        <f t="shared" si="12"/>
        <v>2021</v>
      </c>
      <c r="P107" s="55">
        <f t="shared" si="12"/>
        <v>0</v>
      </c>
      <c r="Q107" s="1"/>
    </row>
    <row r="108" spans="3:17">
      <c r="C108" s="16" t="str">
        <f t="shared" si="10"/>
        <v>2.º desbaste</v>
      </c>
      <c r="D108" s="16">
        <f t="shared" si="10"/>
        <v>8</v>
      </c>
      <c r="E108" s="16">
        <f t="shared" si="10"/>
        <v>2022</v>
      </c>
      <c r="F108" s="55">
        <f t="shared" si="10"/>
        <v>2700</v>
      </c>
      <c r="H108" s="16" t="str">
        <f t="shared" si="11"/>
        <v>2.º desbaste</v>
      </c>
      <c r="I108" s="16">
        <f t="shared" si="11"/>
        <v>8</v>
      </c>
      <c r="J108" s="16">
        <f t="shared" si="11"/>
        <v>2022</v>
      </c>
      <c r="K108" s="55">
        <f t="shared" si="11"/>
        <v>2700</v>
      </c>
      <c r="L108" s="1"/>
      <c r="M108" s="16" t="str">
        <f t="shared" si="12"/>
        <v>2.º desbaste</v>
      </c>
      <c r="N108" s="16">
        <f t="shared" si="12"/>
        <v>8</v>
      </c>
      <c r="O108" s="16">
        <f t="shared" si="12"/>
        <v>2022</v>
      </c>
      <c r="P108" s="55">
        <f t="shared" si="12"/>
        <v>2700</v>
      </c>
      <c r="Q108" s="1"/>
    </row>
    <row r="109" spans="3:17">
      <c r="C109" s="16" t="str">
        <f t="shared" si="10"/>
        <v>tratos culturais</v>
      </c>
      <c r="D109" s="16">
        <f t="shared" si="10"/>
        <v>9</v>
      </c>
      <c r="E109" s="16">
        <f t="shared" si="10"/>
        <v>2023</v>
      </c>
      <c r="F109" s="43">
        <f t="shared" si="10"/>
        <v>-500</v>
      </c>
      <c r="H109" s="16" t="str">
        <f t="shared" si="11"/>
        <v>tratos culturais</v>
      </c>
      <c r="I109" s="16">
        <f t="shared" si="11"/>
        <v>9</v>
      </c>
      <c r="J109" s="16">
        <f t="shared" si="11"/>
        <v>2023</v>
      </c>
      <c r="K109" s="43">
        <f>K41</f>
        <v>-1000</v>
      </c>
      <c r="L109" s="1"/>
      <c r="M109" s="16" t="str">
        <f t="shared" si="12"/>
        <v>tratos culturais</v>
      </c>
      <c r="N109" s="16">
        <f t="shared" si="12"/>
        <v>9</v>
      </c>
      <c r="O109" s="16">
        <f t="shared" si="12"/>
        <v>2023</v>
      </c>
      <c r="P109" s="43">
        <f t="shared" si="12"/>
        <v>-1500</v>
      </c>
      <c r="Q109" s="1"/>
    </row>
    <row r="110" spans="3:17">
      <c r="C110" s="16">
        <f t="shared" si="10"/>
        <v>0</v>
      </c>
      <c r="D110" s="16">
        <f t="shared" si="10"/>
        <v>10</v>
      </c>
      <c r="E110" s="16">
        <f t="shared" si="10"/>
        <v>2024</v>
      </c>
      <c r="F110" s="55">
        <f t="shared" si="10"/>
        <v>0</v>
      </c>
      <c r="H110" s="16">
        <f t="shared" si="11"/>
        <v>0</v>
      </c>
      <c r="I110" s="16">
        <f t="shared" si="11"/>
        <v>10</v>
      </c>
      <c r="J110" s="16">
        <f t="shared" si="11"/>
        <v>2024</v>
      </c>
      <c r="K110" s="55">
        <f t="shared" si="11"/>
        <v>0</v>
      </c>
      <c r="L110" s="1"/>
      <c r="M110" s="16">
        <f t="shared" si="12"/>
        <v>0</v>
      </c>
      <c r="N110" s="16">
        <f t="shared" si="12"/>
        <v>10</v>
      </c>
      <c r="O110" s="16">
        <f t="shared" si="12"/>
        <v>2024</v>
      </c>
      <c r="P110" s="55">
        <f t="shared" si="12"/>
        <v>0</v>
      </c>
      <c r="Q110" s="1"/>
    </row>
    <row r="111" spans="3:17">
      <c r="C111" s="16">
        <f t="shared" si="10"/>
        <v>0</v>
      </c>
      <c r="D111" s="16">
        <f t="shared" si="10"/>
        <v>11</v>
      </c>
      <c r="E111" s="16">
        <f t="shared" si="10"/>
        <v>2025</v>
      </c>
      <c r="F111" s="55">
        <f t="shared" si="10"/>
        <v>0</v>
      </c>
      <c r="H111" s="16">
        <f t="shared" si="11"/>
        <v>0</v>
      </c>
      <c r="I111" s="16">
        <f t="shared" si="11"/>
        <v>11</v>
      </c>
      <c r="J111" s="16">
        <f t="shared" si="11"/>
        <v>2025</v>
      </c>
      <c r="K111" s="55">
        <f t="shared" si="11"/>
        <v>0</v>
      </c>
      <c r="L111" s="1"/>
      <c r="M111" s="16">
        <f t="shared" si="12"/>
        <v>0</v>
      </c>
      <c r="N111" s="16">
        <f t="shared" si="12"/>
        <v>11</v>
      </c>
      <c r="O111" s="16">
        <f t="shared" si="12"/>
        <v>2025</v>
      </c>
      <c r="P111" s="55">
        <f t="shared" si="12"/>
        <v>0</v>
      </c>
      <c r="Q111" s="1"/>
    </row>
    <row r="112" spans="3:17">
      <c r="C112" s="16">
        <f t="shared" si="10"/>
        <v>0</v>
      </c>
      <c r="D112" s="16">
        <f t="shared" si="10"/>
        <v>12</v>
      </c>
      <c r="E112" s="16">
        <f t="shared" si="10"/>
        <v>2026</v>
      </c>
      <c r="F112" s="55">
        <f t="shared" si="10"/>
        <v>0</v>
      </c>
      <c r="H112" s="16">
        <f t="shared" si="11"/>
        <v>0</v>
      </c>
      <c r="I112" s="16">
        <f t="shared" si="11"/>
        <v>12</v>
      </c>
      <c r="J112" s="16">
        <f t="shared" si="11"/>
        <v>2026</v>
      </c>
      <c r="K112" s="55">
        <f t="shared" si="11"/>
        <v>0</v>
      </c>
      <c r="L112" s="1"/>
      <c r="M112" s="121" t="str">
        <f t="shared" si="12"/>
        <v>corte das toras</v>
      </c>
      <c r="N112" s="121">
        <f t="shared" si="12"/>
        <v>12</v>
      </c>
      <c r="O112" s="16">
        <f t="shared" si="12"/>
        <v>2026</v>
      </c>
      <c r="P112" s="55">
        <f t="shared" si="12"/>
        <v>60000</v>
      </c>
      <c r="Q112" s="1"/>
    </row>
    <row r="113" spans="3:17">
      <c r="C113" s="16">
        <f t="shared" si="10"/>
        <v>0</v>
      </c>
      <c r="D113" s="16">
        <f t="shared" si="10"/>
        <v>13</v>
      </c>
      <c r="E113" s="16">
        <f t="shared" si="10"/>
        <v>2027</v>
      </c>
      <c r="F113" s="55">
        <f t="shared" si="10"/>
        <v>0</v>
      </c>
      <c r="H113" s="16">
        <f t="shared" si="11"/>
        <v>0</v>
      </c>
      <c r="I113" s="16">
        <f t="shared" si="11"/>
        <v>13</v>
      </c>
      <c r="J113" s="16">
        <f t="shared" si="11"/>
        <v>2027</v>
      </c>
      <c r="K113" s="55">
        <f t="shared" si="11"/>
        <v>0</v>
      </c>
      <c r="L113" s="1"/>
      <c r="M113" s="16"/>
      <c r="N113" s="16"/>
      <c r="O113" s="16"/>
      <c r="P113" s="43"/>
      <c r="Q113" s="1"/>
    </row>
    <row r="114" spans="3:17">
      <c r="C114" s="16">
        <f t="shared" si="10"/>
        <v>0</v>
      </c>
      <c r="D114" s="16">
        <f t="shared" si="10"/>
        <v>14</v>
      </c>
      <c r="E114" s="16">
        <f t="shared" si="10"/>
        <v>2028</v>
      </c>
      <c r="F114" s="55">
        <f t="shared" si="10"/>
        <v>0</v>
      </c>
      <c r="H114" s="16">
        <f t="shared" si="11"/>
        <v>0</v>
      </c>
      <c r="I114" s="16">
        <f t="shared" si="11"/>
        <v>14</v>
      </c>
      <c r="J114" s="16">
        <f t="shared" si="11"/>
        <v>2028</v>
      </c>
      <c r="K114" s="55">
        <f t="shared" si="11"/>
        <v>0</v>
      </c>
      <c r="L114" s="1"/>
      <c r="M114" s="16"/>
      <c r="N114" s="16"/>
      <c r="O114" s="16"/>
      <c r="P114" s="55"/>
      <c r="Q114" s="1"/>
    </row>
    <row r="115" spans="3:17">
      <c r="C115" s="16">
        <f t="shared" si="10"/>
        <v>0</v>
      </c>
      <c r="D115" s="16">
        <f t="shared" si="10"/>
        <v>15</v>
      </c>
      <c r="E115" s="16">
        <f t="shared" si="10"/>
        <v>2029</v>
      </c>
      <c r="F115" s="55">
        <f t="shared" si="10"/>
        <v>0</v>
      </c>
      <c r="H115" s="16">
        <f t="shared" si="11"/>
        <v>0</v>
      </c>
      <c r="I115" s="16">
        <f t="shared" si="11"/>
        <v>15</v>
      </c>
      <c r="J115" s="16">
        <f t="shared" si="11"/>
        <v>2029</v>
      </c>
      <c r="K115" s="55">
        <f t="shared" si="11"/>
        <v>0</v>
      </c>
      <c r="L115" s="1"/>
      <c r="M115" s="16"/>
      <c r="N115" s="16"/>
      <c r="O115" s="16"/>
      <c r="P115" s="55"/>
      <c r="Q115" s="1"/>
    </row>
    <row r="116" spans="3:17">
      <c r="C116" s="16">
        <f t="shared" si="10"/>
        <v>0</v>
      </c>
      <c r="D116" s="16">
        <f t="shared" si="10"/>
        <v>16</v>
      </c>
      <c r="E116" s="16">
        <f t="shared" si="10"/>
        <v>2030</v>
      </c>
      <c r="F116" s="55">
        <f t="shared" si="10"/>
        <v>0</v>
      </c>
      <c r="H116" s="121" t="str">
        <f t="shared" si="11"/>
        <v>corte das toras</v>
      </c>
      <c r="I116" s="121">
        <f t="shared" si="11"/>
        <v>16</v>
      </c>
      <c r="J116" s="16">
        <f t="shared" si="11"/>
        <v>2030</v>
      </c>
      <c r="K116" s="55">
        <f>K48</f>
        <v>60000</v>
      </c>
      <c r="L116" s="1"/>
      <c r="M116" s="16"/>
      <c r="N116" s="16"/>
      <c r="O116" s="16"/>
      <c r="P116" s="55"/>
      <c r="Q116" s="1"/>
    </row>
    <row r="117" spans="3:17">
      <c r="C117" s="16">
        <f t="shared" ref="C117:F118" si="13">C49</f>
        <v>0</v>
      </c>
      <c r="D117" s="16">
        <f t="shared" si="13"/>
        <v>17</v>
      </c>
      <c r="E117" s="16">
        <f t="shared" si="13"/>
        <v>2031</v>
      </c>
      <c r="F117" s="55">
        <f t="shared" si="13"/>
        <v>0</v>
      </c>
      <c r="H117" s="16"/>
      <c r="I117" s="16"/>
      <c r="J117" s="16"/>
      <c r="K117" s="55"/>
      <c r="L117" s="1"/>
      <c r="M117" s="16"/>
      <c r="N117" s="16"/>
      <c r="O117" s="16"/>
      <c r="P117" s="55"/>
      <c r="Q117" s="1"/>
    </row>
    <row r="118" spans="3:17">
      <c r="C118" s="16">
        <f t="shared" si="13"/>
        <v>0</v>
      </c>
      <c r="D118" s="16">
        <f t="shared" si="13"/>
        <v>18</v>
      </c>
      <c r="E118" s="16">
        <f t="shared" si="13"/>
        <v>2032</v>
      </c>
      <c r="F118" s="55">
        <f t="shared" si="13"/>
        <v>0</v>
      </c>
      <c r="H118" s="16"/>
      <c r="I118" s="16"/>
      <c r="J118" s="16"/>
      <c r="K118" s="55"/>
      <c r="L118" s="1"/>
      <c r="M118" s="16"/>
      <c r="N118" s="16"/>
      <c r="O118" s="16"/>
      <c r="P118" s="55"/>
      <c r="Q118" s="1"/>
    </row>
    <row r="119" spans="3:17">
      <c r="C119" s="16">
        <f t="shared" ref="C119:F119" si="14">C51</f>
        <v>0</v>
      </c>
      <c r="D119" s="16">
        <f t="shared" si="14"/>
        <v>19</v>
      </c>
      <c r="E119" s="16">
        <f t="shared" si="14"/>
        <v>2033</v>
      </c>
      <c r="F119" s="55">
        <f t="shared" si="14"/>
        <v>0</v>
      </c>
      <c r="K119" s="12"/>
      <c r="L119" s="1"/>
      <c r="M119" s="1"/>
      <c r="N119" s="1"/>
      <c r="O119" s="1"/>
      <c r="P119" s="12"/>
      <c r="Q119" s="1"/>
    </row>
    <row r="120" spans="3:17">
      <c r="C120" s="121" t="str">
        <f t="shared" ref="C120:E120" si="15">C52</f>
        <v>corte das toras</v>
      </c>
      <c r="D120" s="121">
        <f t="shared" si="15"/>
        <v>20</v>
      </c>
      <c r="E120" s="16">
        <f t="shared" si="15"/>
        <v>2034</v>
      </c>
      <c r="F120" s="55">
        <f>F52</f>
        <v>60000</v>
      </c>
      <c r="K120" s="12"/>
      <c r="L120" s="1"/>
      <c r="M120" s="1"/>
      <c r="N120" s="1"/>
      <c r="O120" s="1"/>
      <c r="P120" s="12"/>
      <c r="Q120" s="1"/>
    </row>
  </sheetData>
  <mergeCells count="22">
    <mergeCell ref="O86:P86"/>
    <mergeCell ref="G1:P1"/>
    <mergeCell ref="A67:P67"/>
    <mergeCell ref="C71:F71"/>
    <mergeCell ref="H71:K71"/>
    <mergeCell ref="M71:P71"/>
    <mergeCell ref="C98:P98"/>
    <mergeCell ref="A5:P5"/>
    <mergeCell ref="A29:P29"/>
    <mergeCell ref="C31:F31"/>
    <mergeCell ref="H31:K31"/>
    <mergeCell ref="M31:P31"/>
    <mergeCell ref="N13:Q13"/>
    <mergeCell ref="N12:Q12"/>
    <mergeCell ref="N14:Q14"/>
    <mergeCell ref="N18:Q18"/>
    <mergeCell ref="N19:Q19"/>
    <mergeCell ref="N15:Q15"/>
    <mergeCell ref="N16:Q16"/>
    <mergeCell ref="N17:Q17"/>
    <mergeCell ref="E86:F86"/>
    <mergeCell ref="J86:K8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9"/>
  <sheetViews>
    <sheetView topLeftCell="A19" workbookViewId="0">
      <selection activeCell="F40" sqref="F40"/>
    </sheetView>
  </sheetViews>
  <sheetFormatPr defaultRowHeight="15"/>
  <cols>
    <col min="1" max="1" width="3.5703125" style="1" customWidth="1"/>
    <col min="2" max="2" width="11.28515625" style="1" customWidth="1"/>
    <col min="3" max="3" width="18.5703125" style="1" customWidth="1"/>
    <col min="4" max="4" width="12.7109375" style="1" customWidth="1"/>
    <col min="5" max="5" width="11.28515625" style="1" customWidth="1"/>
    <col min="6" max="6" width="10.5703125" style="1" customWidth="1"/>
    <col min="7" max="7" width="4.140625" style="1" customWidth="1"/>
    <col min="8" max="8" width="18.28515625" style="1" customWidth="1"/>
    <col min="9" max="9" width="5.42578125" style="1" customWidth="1"/>
    <col min="10" max="10" width="7" style="1" customWidth="1"/>
    <col min="11" max="11" width="12.42578125" style="2" customWidth="1"/>
    <col min="12" max="12" width="4.85546875" style="2" customWidth="1"/>
    <col min="13" max="13" width="17.5703125" style="2" customWidth="1"/>
    <col min="14" max="14" width="6.7109375" style="2" customWidth="1"/>
    <col min="15" max="15" width="10.140625" style="2" customWidth="1"/>
    <col min="16" max="16" width="11.85546875" style="2" customWidth="1"/>
    <col min="17" max="17" width="5.140625" style="2" customWidth="1"/>
    <col min="18" max="18" width="17.5703125" style="2" customWidth="1"/>
    <col min="19" max="19" width="6.85546875" style="2" customWidth="1"/>
    <col min="20" max="20" width="9.140625" style="2"/>
    <col min="21" max="21" width="11.28515625" style="2" customWidth="1"/>
    <col min="22" max="22" width="9.140625" style="2"/>
    <col min="23" max="23" width="15.85546875" style="2" customWidth="1"/>
    <col min="24" max="16384" width="9.140625" style="2"/>
  </cols>
  <sheetData>
    <row r="1" spans="1:19" ht="21">
      <c r="A1" s="26"/>
      <c r="B1" s="35"/>
      <c r="C1" s="4"/>
      <c r="D1" s="27"/>
      <c r="E1" s="27"/>
      <c r="F1" s="27"/>
      <c r="G1" s="279" t="s">
        <v>38</v>
      </c>
      <c r="H1" s="279"/>
      <c r="I1" s="279"/>
      <c r="J1" s="279"/>
      <c r="K1" s="279"/>
      <c r="L1" s="279"/>
      <c r="M1" s="279"/>
      <c r="N1" s="279"/>
      <c r="O1" s="279"/>
      <c r="P1" s="279"/>
    </row>
    <row r="2" spans="1:19" ht="21">
      <c r="C2" s="2"/>
      <c r="R2" s="26"/>
      <c r="S2" s="26"/>
    </row>
    <row r="3" spans="1:19" ht="15.75">
      <c r="B3" s="37"/>
      <c r="C3" s="4"/>
      <c r="D3" s="2"/>
      <c r="E3" s="2"/>
      <c r="F3" s="2"/>
      <c r="G3" s="2"/>
      <c r="I3" s="37"/>
      <c r="J3" s="4"/>
      <c r="L3" s="8"/>
      <c r="O3" s="4"/>
    </row>
    <row r="4" spans="1:19" ht="15.75">
      <c r="B4" s="37"/>
      <c r="C4" s="4"/>
      <c r="D4" s="2"/>
      <c r="E4" s="2"/>
      <c r="F4" s="2"/>
      <c r="G4" s="2"/>
      <c r="I4" s="37"/>
      <c r="J4" s="4"/>
      <c r="L4" s="8"/>
      <c r="O4" s="4"/>
    </row>
    <row r="5" spans="1:19" s="139" customFormat="1" ht="23.25">
      <c r="A5" s="294" t="s">
        <v>105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</row>
    <row r="6" spans="1:19" ht="19.5" customHeight="1">
      <c r="B6" s="37"/>
      <c r="C6" s="4"/>
      <c r="D6" s="2"/>
      <c r="E6" s="2"/>
      <c r="F6" s="2"/>
      <c r="G6" s="2"/>
      <c r="I6" s="37"/>
      <c r="J6" s="4"/>
      <c r="L6" s="8"/>
      <c r="O6" s="4"/>
    </row>
    <row r="7" spans="1:19" ht="19.5" customHeight="1">
      <c r="B7" s="37"/>
      <c r="C7" s="4"/>
      <c r="D7" s="4" t="s">
        <v>46</v>
      </c>
      <c r="E7" s="4" t="s">
        <v>45</v>
      </c>
      <c r="F7" s="2"/>
      <c r="G7" s="2"/>
      <c r="I7" s="37"/>
      <c r="J7" s="4"/>
      <c r="L7" s="8"/>
      <c r="O7" s="4"/>
    </row>
    <row r="8" spans="1:19" ht="19.5" customHeight="1">
      <c r="B8" s="37"/>
      <c r="C8" s="8" t="s">
        <v>43</v>
      </c>
      <c r="D8" s="8" t="s">
        <v>104</v>
      </c>
      <c r="E8" s="91">
        <v>816</v>
      </c>
      <c r="F8" s="2" t="s">
        <v>47</v>
      </c>
      <c r="G8" s="2"/>
      <c r="I8" s="37"/>
      <c r="J8" s="4"/>
      <c r="L8" s="8"/>
      <c r="O8" s="4"/>
    </row>
    <row r="9" spans="1:19" ht="19.5" customHeight="1">
      <c r="B9" s="37"/>
      <c r="C9" s="4"/>
      <c r="D9" s="8"/>
      <c r="E9" s="93">
        <f>E8*10%</f>
        <v>81.600000000000009</v>
      </c>
      <c r="F9" s="90" t="s">
        <v>48</v>
      </c>
      <c r="G9" s="90"/>
      <c r="H9" s="89"/>
      <c r="I9" s="37"/>
      <c r="J9" s="4"/>
      <c r="L9" s="8"/>
      <c r="O9" s="4"/>
    </row>
    <row r="10" spans="1:19" ht="19.5" customHeight="1">
      <c r="A10" s="110"/>
      <c r="B10" s="37"/>
      <c r="C10" s="4"/>
      <c r="D10" s="2"/>
      <c r="E10" s="92">
        <f>E8-E9</f>
        <v>734.4</v>
      </c>
      <c r="F10" s="2"/>
      <c r="G10" s="2"/>
      <c r="I10" s="37"/>
      <c r="J10" s="4"/>
      <c r="L10" s="8"/>
      <c r="O10" s="4"/>
    </row>
    <row r="11" spans="1:19" ht="19.5" customHeight="1">
      <c r="B11" s="37"/>
      <c r="C11" s="4"/>
      <c r="D11" s="2"/>
      <c r="E11" s="2"/>
      <c r="F11" s="2"/>
      <c r="G11" s="2"/>
      <c r="I11" s="37"/>
      <c r="J11" s="4"/>
      <c r="L11" s="8"/>
      <c r="O11" s="4"/>
    </row>
    <row r="12" spans="1:19" s="13" customFormat="1" ht="19.5" customHeight="1">
      <c r="C12" s="99" t="s">
        <v>55</v>
      </c>
      <c r="D12" s="99" t="s">
        <v>53</v>
      </c>
      <c r="E12" s="100" t="s">
        <v>54</v>
      </c>
      <c r="F12" s="112" t="s">
        <v>57</v>
      </c>
      <c r="G12" s="98"/>
      <c r="J12" s="5"/>
      <c r="K12" s="118" t="s">
        <v>60</v>
      </c>
      <c r="L12" s="119"/>
      <c r="M12" s="140" t="s">
        <v>63</v>
      </c>
      <c r="N12" s="289" t="s">
        <v>64</v>
      </c>
      <c r="O12" s="289"/>
      <c r="P12" s="289"/>
      <c r="Q12" s="289"/>
    </row>
    <row r="13" spans="1:19" s="96" customFormat="1" ht="21" customHeight="1">
      <c r="A13" s="110"/>
      <c r="B13" s="111" t="s">
        <v>49</v>
      </c>
      <c r="C13" s="101">
        <v>4</v>
      </c>
      <c r="D13" s="102">
        <v>0</v>
      </c>
      <c r="E13" s="103">
        <f>$E$10*D13</f>
        <v>0</v>
      </c>
      <c r="F13" s="104">
        <v>0</v>
      </c>
      <c r="G13" s="113" t="s">
        <v>58</v>
      </c>
      <c r="J13" s="97"/>
      <c r="K13" s="115">
        <f>'analise financ ciclo curto'!N9</f>
        <v>27</v>
      </c>
      <c r="L13" s="113" t="s">
        <v>61</v>
      </c>
      <c r="M13" s="141"/>
      <c r="N13" s="289" t="s">
        <v>65</v>
      </c>
      <c r="O13" s="289"/>
      <c r="P13" s="289"/>
      <c r="Q13" s="289"/>
    </row>
    <row r="14" spans="1:19" s="96" customFormat="1" ht="21" customHeight="1">
      <c r="B14" s="80"/>
      <c r="C14" s="80"/>
      <c r="D14" s="80"/>
      <c r="E14" s="80"/>
      <c r="F14" s="80"/>
      <c r="G14" s="80"/>
      <c r="J14" s="97"/>
      <c r="K14" s="116"/>
      <c r="L14" s="80"/>
      <c r="M14" s="141"/>
      <c r="N14" s="289" t="s">
        <v>66</v>
      </c>
      <c r="O14" s="289"/>
      <c r="P14" s="289"/>
      <c r="Q14" s="289"/>
    </row>
    <row r="15" spans="1:19" s="80" customFormat="1" ht="21" customHeight="1">
      <c r="B15" s="111" t="s">
        <v>50</v>
      </c>
      <c r="C15" s="105">
        <v>8</v>
      </c>
      <c r="D15" s="102">
        <v>0.5</v>
      </c>
      <c r="E15" s="103">
        <f>$E$10*D15</f>
        <v>367.2</v>
      </c>
      <c r="F15" s="104">
        <v>100</v>
      </c>
      <c r="G15" s="114" t="s">
        <v>58</v>
      </c>
      <c r="K15" s="115">
        <f>'analise financ ciclo curto'!N9</f>
        <v>27</v>
      </c>
      <c r="L15" s="113" t="s">
        <v>61</v>
      </c>
      <c r="M15" s="141"/>
      <c r="N15" s="289" t="s">
        <v>67</v>
      </c>
      <c r="O15" s="289"/>
      <c r="P15" s="289"/>
      <c r="Q15" s="289"/>
    </row>
    <row r="16" spans="1:19" s="80" customFormat="1" ht="21" customHeight="1">
      <c r="K16" s="116"/>
      <c r="M16" s="141"/>
      <c r="N16" s="289" t="s">
        <v>68</v>
      </c>
      <c r="O16" s="289"/>
      <c r="P16" s="289"/>
      <c r="Q16" s="289"/>
    </row>
    <row r="17" spans="1:25" s="80" customFormat="1" ht="33" customHeight="1">
      <c r="B17" s="107" t="s">
        <v>52</v>
      </c>
      <c r="C17" s="105" t="s">
        <v>56</v>
      </c>
      <c r="D17" s="108">
        <f>D15</f>
        <v>0.5</v>
      </c>
      <c r="E17" s="103">
        <f>$E$10*D17</f>
        <v>367.2</v>
      </c>
      <c r="F17" s="109">
        <v>300</v>
      </c>
      <c r="G17" s="106" t="s">
        <v>59</v>
      </c>
      <c r="K17" s="117">
        <f>'analise financ ciclo curto'!N10</f>
        <v>200</v>
      </c>
      <c r="L17" s="113" t="s">
        <v>62</v>
      </c>
      <c r="M17" s="141"/>
      <c r="N17" s="289" t="s">
        <v>69</v>
      </c>
      <c r="O17" s="289"/>
      <c r="P17" s="289"/>
      <c r="Q17" s="289"/>
    </row>
    <row r="18" spans="1:25" s="79" customFormat="1" ht="15.75">
      <c r="C18" s="81"/>
      <c r="D18" s="82"/>
      <c r="E18" s="82"/>
      <c r="F18" s="82"/>
      <c r="N18" s="290" t="s">
        <v>74</v>
      </c>
      <c r="O18" s="290"/>
      <c r="P18" s="290"/>
      <c r="Q18" s="290"/>
    </row>
    <row r="19" spans="1:25" s="78" customFormat="1" ht="15.75">
      <c r="A19" s="83"/>
      <c r="B19" s="83"/>
      <c r="C19" s="84"/>
      <c r="D19" s="85"/>
      <c r="E19" s="85"/>
      <c r="F19" s="352" t="s">
        <v>157</v>
      </c>
      <c r="G19" s="83"/>
      <c r="H19" s="83"/>
      <c r="I19" s="83"/>
      <c r="J19" s="83"/>
      <c r="N19" s="290" t="s">
        <v>75</v>
      </c>
      <c r="O19" s="290"/>
      <c r="P19" s="290"/>
      <c r="Q19" s="290"/>
    </row>
    <row r="20" spans="1:25" s="78" customFormat="1" ht="15.75">
      <c r="A20" s="83"/>
      <c r="B20" s="83"/>
      <c r="C20" s="84"/>
      <c r="D20" s="85"/>
      <c r="E20" s="85"/>
      <c r="F20" s="85"/>
      <c r="G20" s="83"/>
      <c r="H20" s="83"/>
      <c r="I20" s="83"/>
      <c r="J20" s="83"/>
      <c r="N20" s="143"/>
      <c r="O20" s="143"/>
      <c r="P20" s="143"/>
      <c r="Q20" s="143"/>
    </row>
    <row r="21" spans="1:25" s="78" customFormat="1" ht="15.75">
      <c r="A21" s="83"/>
      <c r="B21" s="83"/>
      <c r="C21" s="84"/>
      <c r="D21" s="85"/>
      <c r="E21" s="85"/>
      <c r="F21" s="85"/>
      <c r="G21" s="83"/>
      <c r="H21" s="83"/>
      <c r="I21" s="83"/>
      <c r="J21" s="83"/>
      <c r="N21" s="143"/>
      <c r="O21" s="143"/>
      <c r="P21" s="143"/>
      <c r="Q21" s="143"/>
    </row>
    <row r="22" spans="1:25" s="78" customFormat="1" ht="15.75">
      <c r="A22" s="83"/>
      <c r="B22" s="83"/>
      <c r="C22" s="84"/>
      <c r="D22" s="85"/>
      <c r="E22" s="85"/>
      <c r="F22" s="85"/>
      <c r="G22" s="83"/>
      <c r="H22" s="83"/>
      <c r="I22" s="83"/>
      <c r="J22" s="83"/>
      <c r="N22" s="143"/>
      <c r="O22" s="143"/>
      <c r="P22" s="143"/>
      <c r="Q22" s="143"/>
    </row>
    <row r="23" spans="1:25" s="78" customFormat="1" ht="21">
      <c r="A23" s="83"/>
      <c r="B23" s="83"/>
      <c r="C23" s="84"/>
      <c r="D23" s="85"/>
      <c r="E23" s="85"/>
      <c r="F23" s="85"/>
      <c r="G23" s="83"/>
      <c r="H23" s="83"/>
      <c r="I23" s="83"/>
      <c r="J23" s="83"/>
      <c r="N23" s="123"/>
      <c r="O23" s="123"/>
      <c r="P23" s="123"/>
      <c r="Q23" s="123"/>
    </row>
    <row r="24" spans="1:25" s="8" customFormat="1" ht="15.75">
      <c r="A24" s="9"/>
      <c r="B24" s="9"/>
      <c r="G24" s="9"/>
      <c r="H24" s="9"/>
      <c r="I24" s="9"/>
      <c r="J24" s="9"/>
    </row>
    <row r="25" spans="1:25" s="8" customFormat="1" ht="15.75">
      <c r="A25" s="9"/>
      <c r="B25" s="9"/>
      <c r="G25" s="9"/>
      <c r="H25" s="9"/>
      <c r="I25" s="9"/>
      <c r="J25" s="9"/>
    </row>
    <row r="26" spans="1:25" s="8" customFormat="1" ht="15.75">
      <c r="A26" s="9"/>
      <c r="B26" s="9"/>
      <c r="G26" s="9"/>
      <c r="H26" s="9"/>
      <c r="I26" s="9"/>
      <c r="J26" s="9"/>
    </row>
    <row r="27" spans="1:25" s="8" customFormat="1" ht="15.75">
      <c r="A27" s="9"/>
      <c r="B27" s="9"/>
      <c r="G27" s="9"/>
      <c r="H27" s="9"/>
      <c r="I27" s="9"/>
      <c r="J27" s="9"/>
    </row>
    <row r="28" spans="1:25" s="8" customFormat="1" ht="15.75">
      <c r="A28" s="9"/>
      <c r="B28" s="9"/>
      <c r="G28" s="9"/>
      <c r="H28" s="9"/>
      <c r="I28" s="9"/>
      <c r="J28" s="9"/>
    </row>
    <row r="29" spans="1:25" s="8" customFormat="1" ht="26.25">
      <c r="A29" s="292" t="s">
        <v>24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</row>
    <row r="30" spans="1:25" s="8" customFormat="1" ht="15.75">
      <c r="A30" s="67"/>
      <c r="B30" s="9"/>
      <c r="G30" s="9"/>
      <c r="H30" s="9"/>
      <c r="I30" s="9"/>
      <c r="J30" s="9"/>
    </row>
    <row r="31" spans="1:25" ht="18.75" customHeight="1">
      <c r="A31" s="16"/>
      <c r="C31" s="260" t="s">
        <v>39</v>
      </c>
      <c r="D31" s="260"/>
      <c r="E31" s="260"/>
      <c r="F31" s="260"/>
      <c r="H31" s="261" t="s">
        <v>40</v>
      </c>
      <c r="I31" s="261"/>
      <c r="J31" s="261"/>
      <c r="K31" s="261"/>
      <c r="M31" s="262" t="s">
        <v>41</v>
      </c>
      <c r="N31" s="262"/>
      <c r="O31" s="262"/>
      <c r="P31" s="262"/>
      <c r="R31" s="297"/>
      <c r="S31" s="297"/>
      <c r="T31" s="297"/>
      <c r="U31" s="297"/>
      <c r="V31" s="146"/>
      <c r="W31" s="146"/>
      <c r="X31" s="216"/>
      <c r="Y31" s="216"/>
    </row>
    <row r="32" spans="1:25">
      <c r="A32" s="33"/>
      <c r="B32" s="33"/>
      <c r="C32" s="3" t="s">
        <v>17</v>
      </c>
      <c r="D32" s="3">
        <v>0</v>
      </c>
      <c r="E32" s="3">
        <v>2014</v>
      </c>
      <c r="F32" s="18">
        <f>-5*$E$8</f>
        <v>-4080</v>
      </c>
      <c r="H32" s="3" t="s">
        <v>17</v>
      </c>
      <c r="I32" s="3">
        <v>0</v>
      </c>
      <c r="J32" s="3">
        <v>2014</v>
      </c>
      <c r="K32" s="18">
        <f>-6*$E$8</f>
        <v>-4896</v>
      </c>
      <c r="M32" s="3" t="s">
        <v>17</v>
      </c>
      <c r="N32" s="3">
        <v>0</v>
      </c>
      <c r="O32" s="3">
        <v>2014</v>
      </c>
      <c r="P32" s="18">
        <f>-7*$E$8</f>
        <v>-5712</v>
      </c>
      <c r="R32" s="16"/>
      <c r="S32" s="16"/>
      <c r="T32" s="16"/>
      <c r="U32" s="43"/>
      <c r="V32" s="217"/>
      <c r="W32" s="146"/>
      <c r="X32" s="216"/>
      <c r="Y32" s="218"/>
    </row>
    <row r="33" spans="1:25" s="4" customFormat="1">
      <c r="A33" s="6"/>
      <c r="B33" s="6"/>
      <c r="D33" s="5">
        <f>D32+1</f>
        <v>1</v>
      </c>
      <c r="E33" s="5">
        <f>E32+1</f>
        <v>2015</v>
      </c>
      <c r="F33" s="44">
        <v>0</v>
      </c>
      <c r="G33" s="5"/>
      <c r="I33" s="5">
        <f>I32+1</f>
        <v>1</v>
      </c>
      <c r="J33" s="5">
        <f t="shared" ref="J33:J49" si="0">J32+1</f>
        <v>2015</v>
      </c>
      <c r="K33" s="44">
        <v>0</v>
      </c>
      <c r="N33" s="5">
        <f>N32+1</f>
        <v>1</v>
      </c>
      <c r="O33" s="5">
        <f t="shared" ref="O33:O45" si="1">O32+1</f>
        <v>2015</v>
      </c>
      <c r="P33" s="44">
        <v>0</v>
      </c>
      <c r="R33" s="219"/>
      <c r="S33" s="6"/>
      <c r="T33" s="6"/>
      <c r="U33" s="216"/>
      <c r="V33" s="146"/>
      <c r="W33" s="146"/>
      <c r="X33" s="216"/>
      <c r="Y33" s="219"/>
    </row>
    <row r="34" spans="1:25" s="4" customFormat="1">
      <c r="A34" s="66"/>
      <c r="B34" s="6"/>
      <c r="D34" s="5">
        <f t="shared" ref="D34:D49" si="2">D33+1</f>
        <v>2</v>
      </c>
      <c r="E34" s="5">
        <f t="shared" ref="E34:E52" si="3">E33+1</f>
        <v>2016</v>
      </c>
      <c r="F34" s="44">
        <v>0</v>
      </c>
      <c r="G34" s="45"/>
      <c r="I34" s="5">
        <f t="shared" ref="I34:I49" si="4">I33+1</f>
        <v>2</v>
      </c>
      <c r="J34" s="5">
        <f t="shared" si="0"/>
        <v>2016</v>
      </c>
      <c r="K34" s="44">
        <v>0</v>
      </c>
      <c r="N34" s="5">
        <f t="shared" ref="N34:N45" si="5">N33+1</f>
        <v>2</v>
      </c>
      <c r="O34" s="5">
        <f t="shared" si="1"/>
        <v>2016</v>
      </c>
      <c r="P34" s="44">
        <v>0</v>
      </c>
      <c r="R34" s="219"/>
      <c r="S34" s="6"/>
      <c r="T34" s="6"/>
      <c r="U34" s="216"/>
      <c r="V34" s="146"/>
      <c r="W34" s="146"/>
      <c r="X34" s="216"/>
      <c r="Y34" s="219"/>
    </row>
    <row r="35" spans="1:25" s="4" customFormat="1">
      <c r="A35" s="66"/>
      <c r="B35" s="6"/>
      <c r="D35" s="5">
        <f t="shared" si="2"/>
        <v>3</v>
      </c>
      <c r="E35" s="5">
        <f t="shared" si="3"/>
        <v>2017</v>
      </c>
      <c r="F35" s="44">
        <v>0</v>
      </c>
      <c r="G35" s="45"/>
      <c r="I35" s="5">
        <f t="shared" si="4"/>
        <v>3</v>
      </c>
      <c r="J35" s="5">
        <f t="shared" si="0"/>
        <v>2017</v>
      </c>
      <c r="K35" s="44">
        <v>0</v>
      </c>
      <c r="N35" s="5">
        <f t="shared" si="5"/>
        <v>3</v>
      </c>
      <c r="O35" s="5">
        <f t="shared" si="1"/>
        <v>2017</v>
      </c>
      <c r="P35" s="44">
        <v>0</v>
      </c>
      <c r="R35" s="219"/>
      <c r="S35" s="6"/>
      <c r="T35" s="6"/>
      <c r="U35" s="216"/>
      <c r="V35" s="146"/>
      <c r="W35" s="146"/>
      <c r="X35" s="216"/>
      <c r="Y35" s="219"/>
    </row>
    <row r="36" spans="1:25" s="4" customFormat="1">
      <c r="A36" s="66"/>
      <c r="B36" s="6"/>
      <c r="D36" s="5">
        <f t="shared" si="2"/>
        <v>4</v>
      </c>
      <c r="E36" s="5">
        <f t="shared" si="3"/>
        <v>2018</v>
      </c>
      <c r="F36" s="44">
        <f>F13*K13</f>
        <v>0</v>
      </c>
      <c r="G36" s="45"/>
      <c r="I36" s="5">
        <f t="shared" si="4"/>
        <v>4</v>
      </c>
      <c r="J36" s="5">
        <f t="shared" si="0"/>
        <v>2018</v>
      </c>
      <c r="K36" s="44">
        <f>F36</f>
        <v>0</v>
      </c>
      <c r="N36" s="5">
        <f t="shared" si="5"/>
        <v>4</v>
      </c>
      <c r="O36" s="5">
        <f t="shared" si="1"/>
        <v>2018</v>
      </c>
      <c r="P36" s="44">
        <f>F36</f>
        <v>0</v>
      </c>
      <c r="R36" s="219"/>
      <c r="S36" s="6"/>
      <c r="T36" s="6"/>
      <c r="U36" s="216"/>
      <c r="V36" s="146"/>
      <c r="W36" s="146"/>
      <c r="X36" s="216"/>
      <c r="Y36" s="219"/>
    </row>
    <row r="37" spans="1:25" s="4" customFormat="1">
      <c r="A37" s="5"/>
      <c r="B37" s="5"/>
      <c r="C37" s="89"/>
      <c r="D37" s="13">
        <f t="shared" si="2"/>
        <v>5</v>
      </c>
      <c r="E37" s="13">
        <f t="shared" si="3"/>
        <v>2019</v>
      </c>
      <c r="F37" s="44">
        <f>F14*K14</f>
        <v>0</v>
      </c>
      <c r="G37" s="45"/>
      <c r="I37" s="5">
        <f t="shared" si="4"/>
        <v>5</v>
      </c>
      <c r="J37" s="5">
        <f t="shared" si="0"/>
        <v>2019</v>
      </c>
      <c r="K37" s="44">
        <f>F37</f>
        <v>0</v>
      </c>
      <c r="N37" s="5">
        <f t="shared" si="5"/>
        <v>5</v>
      </c>
      <c r="O37" s="5">
        <f t="shared" si="1"/>
        <v>2019</v>
      </c>
      <c r="P37" s="44">
        <f>F37</f>
        <v>0</v>
      </c>
      <c r="R37" s="219"/>
      <c r="S37" s="6"/>
      <c r="T37" s="6"/>
      <c r="U37" s="216"/>
      <c r="V37" s="146"/>
      <c r="W37" s="146"/>
      <c r="X37" s="216"/>
      <c r="Y37" s="219"/>
    </row>
    <row r="38" spans="1:25" s="4" customFormat="1">
      <c r="B38" s="5"/>
      <c r="C38" s="58"/>
      <c r="D38" s="58">
        <f t="shared" si="2"/>
        <v>6</v>
      </c>
      <c r="E38" s="58">
        <f t="shared" si="3"/>
        <v>2020</v>
      </c>
      <c r="F38" s="88">
        <f>D17*O17</f>
        <v>0</v>
      </c>
      <c r="G38" s="13"/>
      <c r="H38" s="58"/>
      <c r="I38" s="58">
        <f t="shared" si="4"/>
        <v>6</v>
      </c>
      <c r="J38" s="58">
        <f t="shared" si="0"/>
        <v>2020</v>
      </c>
      <c r="K38" s="88">
        <f>I17*T17</f>
        <v>0</v>
      </c>
      <c r="L38" s="52"/>
      <c r="M38" s="58"/>
      <c r="N38" s="58">
        <f t="shared" si="5"/>
        <v>6</v>
      </c>
      <c r="O38" s="58">
        <f t="shared" si="1"/>
        <v>2020</v>
      </c>
      <c r="P38" s="44">
        <v>0</v>
      </c>
      <c r="R38" s="219"/>
      <c r="S38" s="6"/>
      <c r="T38" s="6"/>
      <c r="U38" s="216"/>
      <c r="V38" s="146"/>
      <c r="W38" s="146"/>
      <c r="X38" s="216"/>
      <c r="Y38" s="219"/>
    </row>
    <row r="39" spans="1:25" s="4" customFormat="1">
      <c r="B39" s="5"/>
      <c r="C39" s="58"/>
      <c r="D39" s="58">
        <f t="shared" si="2"/>
        <v>7</v>
      </c>
      <c r="E39" s="58">
        <f t="shared" si="3"/>
        <v>2021</v>
      </c>
      <c r="F39" s="88"/>
      <c r="G39" s="13"/>
      <c r="H39" s="58"/>
      <c r="I39" s="58">
        <f t="shared" si="4"/>
        <v>7</v>
      </c>
      <c r="J39" s="58">
        <f t="shared" si="0"/>
        <v>2021</v>
      </c>
      <c r="K39" s="88">
        <f>I18*T18</f>
        <v>0</v>
      </c>
      <c r="L39" s="52"/>
      <c r="M39" s="58"/>
      <c r="N39" s="58">
        <f t="shared" si="5"/>
        <v>7</v>
      </c>
      <c r="O39" s="58">
        <f t="shared" si="1"/>
        <v>2021</v>
      </c>
      <c r="P39" s="44">
        <v>0</v>
      </c>
      <c r="R39" s="219"/>
      <c r="S39" s="6"/>
      <c r="T39" s="6"/>
      <c r="U39" s="216"/>
      <c r="V39" s="146"/>
      <c r="W39" s="146"/>
      <c r="X39" s="216"/>
      <c r="Y39" s="219"/>
    </row>
    <row r="40" spans="1:25" s="4" customFormat="1">
      <c r="B40" s="5"/>
      <c r="C40" s="3" t="s">
        <v>50</v>
      </c>
      <c r="D40" s="50">
        <f t="shared" si="2"/>
        <v>8</v>
      </c>
      <c r="E40" s="50">
        <f t="shared" si="3"/>
        <v>2022</v>
      </c>
      <c r="F40" s="51">
        <f>F15*K15</f>
        <v>2700</v>
      </c>
      <c r="G40" s="5"/>
      <c r="H40" s="3" t="s">
        <v>50</v>
      </c>
      <c r="I40" s="50">
        <f t="shared" si="4"/>
        <v>8</v>
      </c>
      <c r="J40" s="50">
        <f t="shared" si="0"/>
        <v>2022</v>
      </c>
      <c r="K40" s="51">
        <f>F40</f>
        <v>2700</v>
      </c>
      <c r="M40" s="3" t="s">
        <v>50</v>
      </c>
      <c r="N40" s="50">
        <f t="shared" si="5"/>
        <v>8</v>
      </c>
      <c r="O40" s="50">
        <f t="shared" si="1"/>
        <v>2022</v>
      </c>
      <c r="P40" s="51">
        <f>F40</f>
        <v>2700</v>
      </c>
      <c r="R40" s="219"/>
      <c r="S40" s="6"/>
      <c r="T40" s="6"/>
      <c r="U40" s="216"/>
      <c r="V40" s="146"/>
      <c r="W40" s="146"/>
      <c r="X40" s="216"/>
      <c r="Y40" s="219"/>
    </row>
    <row r="41" spans="1:25" s="4" customFormat="1">
      <c r="B41" s="5"/>
      <c r="C41" s="89" t="s">
        <v>42</v>
      </c>
      <c r="D41" s="13">
        <f t="shared" si="2"/>
        <v>9</v>
      </c>
      <c r="E41" s="13">
        <f t="shared" si="3"/>
        <v>2023</v>
      </c>
      <c r="F41" s="53">
        <f>'analise financ ciclo longo 1111'!$F$41</f>
        <v>-500</v>
      </c>
      <c r="G41" s="5"/>
      <c r="H41" s="89" t="s">
        <v>42</v>
      </c>
      <c r="I41" s="13">
        <f t="shared" si="4"/>
        <v>9</v>
      </c>
      <c r="J41" s="13">
        <f t="shared" si="0"/>
        <v>2023</v>
      </c>
      <c r="K41" s="53">
        <f>'analise financ ciclo longo 1111'!$K$41</f>
        <v>-1000</v>
      </c>
      <c r="M41" s="89" t="s">
        <v>42</v>
      </c>
      <c r="N41" s="13">
        <f t="shared" si="5"/>
        <v>9</v>
      </c>
      <c r="O41" s="13">
        <f t="shared" si="1"/>
        <v>2023</v>
      </c>
      <c r="P41" s="53">
        <f>'analise financ ciclo longo 1111'!$P$41</f>
        <v>-1500</v>
      </c>
      <c r="R41" s="219"/>
      <c r="S41" s="6"/>
      <c r="T41" s="6"/>
      <c r="U41" s="220"/>
      <c r="V41" s="146"/>
      <c r="W41" s="146"/>
      <c r="X41" s="216"/>
      <c r="Y41" s="219"/>
    </row>
    <row r="42" spans="1:25" s="4" customFormat="1">
      <c r="B42" s="5"/>
      <c r="C42" s="5"/>
      <c r="D42" s="5">
        <f t="shared" si="2"/>
        <v>10</v>
      </c>
      <c r="E42" s="5">
        <f t="shared" si="3"/>
        <v>2024</v>
      </c>
      <c r="F42" s="48">
        <v>0</v>
      </c>
      <c r="G42" s="5"/>
      <c r="H42" s="5"/>
      <c r="I42" s="5">
        <f t="shared" si="4"/>
        <v>10</v>
      </c>
      <c r="J42" s="5">
        <f t="shared" si="0"/>
        <v>2024</v>
      </c>
      <c r="K42" s="48">
        <v>0</v>
      </c>
      <c r="M42" s="5"/>
      <c r="N42" s="5">
        <f t="shared" si="5"/>
        <v>10</v>
      </c>
      <c r="O42" s="5">
        <f t="shared" si="1"/>
        <v>2024</v>
      </c>
      <c r="P42" s="48">
        <v>0</v>
      </c>
      <c r="R42" s="219"/>
      <c r="S42" s="6"/>
      <c r="T42" s="6"/>
      <c r="U42" s="216"/>
      <c r="V42" s="146"/>
      <c r="W42" s="146"/>
      <c r="X42" s="216"/>
      <c r="Y42" s="219"/>
    </row>
    <row r="43" spans="1:25" s="4" customFormat="1">
      <c r="A43" s="5"/>
      <c r="B43" s="5"/>
      <c r="C43" s="5"/>
      <c r="D43" s="5">
        <f t="shared" si="2"/>
        <v>11</v>
      </c>
      <c r="E43" s="5">
        <f t="shared" si="3"/>
        <v>2025</v>
      </c>
      <c r="F43" s="48">
        <v>0</v>
      </c>
      <c r="G43" s="5"/>
      <c r="H43" s="5"/>
      <c r="I43" s="5">
        <f t="shared" si="4"/>
        <v>11</v>
      </c>
      <c r="J43" s="5">
        <f t="shared" si="0"/>
        <v>2025</v>
      </c>
      <c r="K43" s="48">
        <v>0</v>
      </c>
      <c r="M43" s="5"/>
      <c r="N43" s="5">
        <f t="shared" si="5"/>
        <v>11</v>
      </c>
      <c r="O43" s="5">
        <f t="shared" si="1"/>
        <v>2025</v>
      </c>
      <c r="P43" s="48">
        <v>0</v>
      </c>
      <c r="R43" s="6"/>
      <c r="S43" s="6"/>
      <c r="T43" s="6"/>
      <c r="U43" s="216"/>
      <c r="V43" s="146"/>
      <c r="W43" s="146"/>
      <c r="X43" s="216"/>
      <c r="Y43" s="219"/>
    </row>
    <row r="44" spans="1:25" s="4" customFormat="1">
      <c r="A44" s="5"/>
      <c r="B44" s="5"/>
      <c r="C44" s="5"/>
      <c r="D44" s="5">
        <f t="shared" si="2"/>
        <v>12</v>
      </c>
      <c r="E44" s="5">
        <f t="shared" si="3"/>
        <v>2026</v>
      </c>
      <c r="F44" s="48">
        <v>0</v>
      </c>
      <c r="G44" s="13"/>
      <c r="H44" s="5"/>
      <c r="I44" s="5">
        <f t="shared" si="4"/>
        <v>12</v>
      </c>
      <c r="J44" s="5">
        <f t="shared" si="0"/>
        <v>2026</v>
      </c>
      <c r="K44" s="48">
        <f>E18*O17</f>
        <v>0</v>
      </c>
      <c r="L44" s="52"/>
      <c r="M44" s="94" t="s">
        <v>51</v>
      </c>
      <c r="N44" s="95">
        <f t="shared" si="5"/>
        <v>12</v>
      </c>
      <c r="O44" s="50">
        <f t="shared" si="1"/>
        <v>2026</v>
      </c>
      <c r="P44" s="51">
        <f>$F$17*$K$17</f>
        <v>60000</v>
      </c>
      <c r="R44" s="6"/>
      <c r="S44" s="6"/>
      <c r="T44" s="6"/>
      <c r="U44" s="216"/>
      <c r="V44" s="217"/>
      <c r="W44" s="146"/>
      <c r="X44" s="216"/>
      <c r="Y44" s="219"/>
    </row>
    <row r="45" spans="1:25" s="4" customFormat="1">
      <c r="A45" s="49"/>
      <c r="B45" s="5"/>
      <c r="C45" s="13"/>
      <c r="D45" s="13">
        <f t="shared" si="2"/>
        <v>13</v>
      </c>
      <c r="E45" s="13">
        <f t="shared" si="3"/>
        <v>2027</v>
      </c>
      <c r="F45" s="48">
        <v>0</v>
      </c>
      <c r="G45" s="13"/>
      <c r="H45" s="5"/>
      <c r="I45" s="5">
        <f t="shared" si="4"/>
        <v>13</v>
      </c>
      <c r="J45" s="5">
        <f t="shared" si="0"/>
        <v>2027</v>
      </c>
      <c r="K45" s="48">
        <f>K39</f>
        <v>0</v>
      </c>
      <c r="L45" s="52"/>
      <c r="M45" s="5" t="s">
        <v>19</v>
      </c>
      <c r="N45" s="5">
        <f t="shared" si="5"/>
        <v>13</v>
      </c>
      <c r="O45" s="5">
        <f t="shared" si="1"/>
        <v>2027</v>
      </c>
      <c r="P45" s="48"/>
      <c r="R45" s="2"/>
      <c r="S45" s="2"/>
      <c r="T45" s="2"/>
      <c r="U45" s="2"/>
      <c r="V45" s="2"/>
      <c r="W45" s="2"/>
      <c r="X45" s="2"/>
      <c r="Y45" s="2"/>
    </row>
    <row r="46" spans="1:25" s="4" customFormat="1" ht="11.25">
      <c r="A46" s="5"/>
      <c r="B46" s="5"/>
      <c r="C46" s="5"/>
      <c r="D46" s="5">
        <f t="shared" si="2"/>
        <v>14</v>
      </c>
      <c r="E46" s="5">
        <f t="shared" si="3"/>
        <v>2028</v>
      </c>
      <c r="F46" s="48">
        <v>0</v>
      </c>
      <c r="G46" s="5"/>
      <c r="H46" s="5"/>
      <c r="I46" s="5">
        <f t="shared" si="4"/>
        <v>14</v>
      </c>
      <c r="J46" s="5">
        <f t="shared" si="0"/>
        <v>2028</v>
      </c>
      <c r="K46" s="48">
        <v>0</v>
      </c>
      <c r="M46" s="5"/>
      <c r="N46" s="5"/>
      <c r="O46" s="5"/>
      <c r="P46" s="48"/>
    </row>
    <row r="47" spans="1:25" s="4" customFormat="1" ht="11.25">
      <c r="A47" s="5"/>
      <c r="B47" s="5"/>
      <c r="C47" s="5"/>
      <c r="D47" s="5">
        <f t="shared" si="2"/>
        <v>15</v>
      </c>
      <c r="E47" s="5">
        <f t="shared" si="3"/>
        <v>2029</v>
      </c>
      <c r="F47" s="48">
        <v>0</v>
      </c>
      <c r="G47" s="5"/>
      <c r="H47" s="5"/>
      <c r="I47" s="5">
        <f t="shared" si="4"/>
        <v>15</v>
      </c>
      <c r="J47" s="5">
        <f t="shared" si="0"/>
        <v>2029</v>
      </c>
      <c r="K47" s="48">
        <v>0</v>
      </c>
      <c r="M47" s="5"/>
      <c r="N47" s="5"/>
      <c r="O47" s="5"/>
      <c r="P47" s="48"/>
    </row>
    <row r="48" spans="1:25" s="4" customFormat="1">
      <c r="A48" s="5"/>
      <c r="B48" s="5"/>
      <c r="C48" s="5"/>
      <c r="D48" s="5">
        <f t="shared" si="2"/>
        <v>16</v>
      </c>
      <c r="E48" s="5">
        <f t="shared" si="3"/>
        <v>2030</v>
      </c>
      <c r="F48" s="48">
        <v>0</v>
      </c>
      <c r="G48" s="5"/>
      <c r="H48" s="94" t="s">
        <v>51</v>
      </c>
      <c r="I48" s="95">
        <f>I47+1</f>
        <v>16</v>
      </c>
      <c r="J48" s="50">
        <f>J47+1</f>
        <v>2030</v>
      </c>
      <c r="K48" s="51">
        <f>$F$17*$K$17</f>
        <v>60000</v>
      </c>
      <c r="M48" s="5"/>
      <c r="N48" s="5"/>
      <c r="O48" s="5"/>
      <c r="P48" s="48"/>
    </row>
    <row r="49" spans="1:16" s="4" customFormat="1" ht="11.25">
      <c r="A49" s="5"/>
      <c r="B49" s="5"/>
      <c r="C49" s="5"/>
      <c r="D49" s="5">
        <f t="shared" si="2"/>
        <v>17</v>
      </c>
      <c r="E49" s="5">
        <f t="shared" si="3"/>
        <v>2031</v>
      </c>
      <c r="F49" s="48">
        <v>0</v>
      </c>
      <c r="G49" s="5"/>
      <c r="H49" s="5" t="s">
        <v>19</v>
      </c>
      <c r="I49" s="5">
        <f t="shared" si="4"/>
        <v>17</v>
      </c>
      <c r="J49" s="5">
        <f t="shared" si="0"/>
        <v>2031</v>
      </c>
      <c r="K49" s="48"/>
      <c r="M49" s="5"/>
      <c r="N49" s="5"/>
      <c r="O49" s="5"/>
      <c r="P49" s="48"/>
    </row>
    <row r="50" spans="1:16" s="4" customFormat="1">
      <c r="A50" s="5"/>
      <c r="B50" s="5"/>
      <c r="C50" s="5"/>
      <c r="D50" s="5">
        <f>D49+1</f>
        <v>18</v>
      </c>
      <c r="E50" s="5">
        <f t="shared" si="3"/>
        <v>2032</v>
      </c>
      <c r="F50" s="48">
        <v>0</v>
      </c>
      <c r="G50" s="13"/>
      <c r="H50" s="5"/>
      <c r="I50" s="5"/>
      <c r="J50" s="5"/>
      <c r="K50" s="48"/>
      <c r="L50" s="52"/>
      <c r="M50" s="5"/>
      <c r="N50" s="5"/>
      <c r="O50" s="5"/>
      <c r="P50" s="48"/>
    </row>
    <row r="51" spans="1:16" s="4" customFormat="1" ht="11.25">
      <c r="A51" s="5"/>
      <c r="B51" s="5"/>
      <c r="C51" s="5"/>
      <c r="D51" s="5">
        <f>D50+1</f>
        <v>19</v>
      </c>
      <c r="E51" s="5">
        <f t="shared" si="3"/>
        <v>2033</v>
      </c>
      <c r="F51" s="48">
        <v>0</v>
      </c>
      <c r="G51" s="5"/>
      <c r="H51" s="5"/>
      <c r="I51" s="5"/>
      <c r="J51" s="5"/>
      <c r="K51" s="48"/>
      <c r="M51" s="5"/>
      <c r="N51" s="5"/>
      <c r="O51" s="5"/>
      <c r="P51" s="48"/>
    </row>
    <row r="52" spans="1:16">
      <c r="C52" s="94" t="s">
        <v>51</v>
      </c>
      <c r="D52" s="95">
        <f t="shared" ref="D52:E53" si="6">D51+1</f>
        <v>20</v>
      </c>
      <c r="E52" s="50">
        <f t="shared" si="3"/>
        <v>2034</v>
      </c>
      <c r="F52" s="51">
        <f>$F$17*$K$17</f>
        <v>60000</v>
      </c>
    </row>
    <row r="53" spans="1:16">
      <c r="C53" s="5" t="s">
        <v>19</v>
      </c>
      <c r="D53" s="5">
        <f t="shared" si="6"/>
        <v>21</v>
      </c>
      <c r="E53" s="5">
        <f t="shared" si="6"/>
        <v>2035</v>
      </c>
      <c r="F53" s="12"/>
    </row>
    <row r="54" spans="1:16">
      <c r="D54" s="5"/>
      <c r="F54" s="12"/>
    </row>
    <row r="55" spans="1:16">
      <c r="D55" s="5"/>
      <c r="F55" s="12"/>
    </row>
    <row r="56" spans="1:16">
      <c r="D56" s="5"/>
      <c r="F56" s="12"/>
    </row>
    <row r="57" spans="1:16">
      <c r="F57" s="12"/>
    </row>
    <row r="58" spans="1:16">
      <c r="F58" s="12"/>
    </row>
    <row r="59" spans="1:16">
      <c r="F59" s="12"/>
    </row>
    <row r="60" spans="1:16">
      <c r="F60" s="12"/>
    </row>
    <row r="61" spans="1:16">
      <c r="F61" s="12"/>
    </row>
    <row r="62" spans="1:16">
      <c r="F62" s="12"/>
    </row>
    <row r="63" spans="1:16">
      <c r="F63" s="12"/>
    </row>
    <row r="64" spans="1:16">
      <c r="F64" s="12"/>
    </row>
    <row r="65" spans="1:21">
      <c r="F65" s="12"/>
    </row>
    <row r="66" spans="1:21">
      <c r="F66" s="12"/>
    </row>
    <row r="67" spans="1:21" ht="33.75" customHeight="1">
      <c r="A67" s="292" t="s">
        <v>106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</row>
    <row r="68" spans="1:21">
      <c r="F68" s="12"/>
    </row>
    <row r="69" spans="1:21">
      <c r="F69" s="12"/>
    </row>
    <row r="70" spans="1:21">
      <c r="F70" s="12"/>
    </row>
    <row r="71" spans="1:21" ht="18.75">
      <c r="C71" s="260" t="s">
        <v>39</v>
      </c>
      <c r="D71" s="260"/>
      <c r="E71" s="260"/>
      <c r="F71" s="260"/>
      <c r="H71" s="261" t="s">
        <v>40</v>
      </c>
      <c r="I71" s="261"/>
      <c r="J71" s="261"/>
      <c r="K71" s="261"/>
      <c r="M71" s="262" t="s">
        <v>41</v>
      </c>
      <c r="N71" s="262"/>
      <c r="O71" s="262"/>
      <c r="P71" s="262"/>
      <c r="R71" s="297"/>
      <c r="S71" s="297"/>
      <c r="T71" s="297"/>
      <c r="U71" s="297"/>
    </row>
    <row r="72" spans="1:21" s="146" customFormat="1">
      <c r="A72" s="16"/>
      <c r="B72" s="16"/>
      <c r="C72" s="16"/>
      <c r="D72" s="16"/>
      <c r="E72" s="16"/>
      <c r="F72" s="15"/>
      <c r="G72" s="16"/>
      <c r="H72" s="16"/>
      <c r="I72" s="16"/>
      <c r="J72" s="16"/>
      <c r="K72" s="15"/>
      <c r="L72" s="16"/>
      <c r="M72" s="16"/>
      <c r="N72" s="16"/>
      <c r="O72" s="16"/>
      <c r="P72" s="15"/>
      <c r="Q72" s="16"/>
      <c r="R72" s="16"/>
      <c r="S72" s="16"/>
      <c r="T72" s="16"/>
      <c r="U72" s="15"/>
    </row>
    <row r="73" spans="1:21">
      <c r="C73" s="151" t="s">
        <v>111</v>
      </c>
      <c r="D73" s="152"/>
      <c r="E73" s="162"/>
      <c r="F73" s="163">
        <v>0.1</v>
      </c>
      <c r="H73" s="151" t="s">
        <v>111</v>
      </c>
      <c r="I73" s="152"/>
      <c r="J73" s="162"/>
      <c r="K73" s="163">
        <v>0.1</v>
      </c>
      <c r="L73" s="1"/>
      <c r="M73" s="151" t="s">
        <v>111</v>
      </c>
      <c r="N73" s="152"/>
      <c r="O73" s="162"/>
      <c r="P73" s="163">
        <v>0.1</v>
      </c>
      <c r="Q73" s="16"/>
      <c r="R73" s="208"/>
      <c r="S73" s="16"/>
      <c r="T73" s="16"/>
      <c r="U73" s="209"/>
    </row>
    <row r="74" spans="1:21">
      <c r="C74" s="153"/>
      <c r="D74" s="154"/>
      <c r="E74" s="153"/>
      <c r="F74" s="156"/>
      <c r="G74" s="2"/>
      <c r="H74" s="153"/>
      <c r="I74" s="154"/>
      <c r="J74" s="153"/>
      <c r="K74" s="156"/>
      <c r="M74" s="153"/>
      <c r="N74" s="154"/>
      <c r="O74" s="153"/>
      <c r="P74" s="156"/>
      <c r="Q74" s="16"/>
      <c r="R74" s="146"/>
      <c r="S74" s="146"/>
      <c r="T74" s="146"/>
      <c r="U74" s="16"/>
    </row>
    <row r="75" spans="1:21">
      <c r="C75" s="155" t="s">
        <v>117</v>
      </c>
      <c r="D75" s="156"/>
      <c r="E75" s="153"/>
      <c r="F75" s="156">
        <f>D52</f>
        <v>20</v>
      </c>
      <c r="G75" s="16"/>
      <c r="H75" s="155" t="s">
        <v>117</v>
      </c>
      <c r="I75" s="156"/>
      <c r="J75" s="153"/>
      <c r="K75" s="156">
        <f>I48</f>
        <v>16</v>
      </c>
      <c r="L75" s="16"/>
      <c r="M75" s="155" t="s">
        <v>117</v>
      </c>
      <c r="N75" s="156"/>
      <c r="O75" s="153"/>
      <c r="P75" s="156">
        <f>N44</f>
        <v>12</v>
      </c>
      <c r="R75" s="210"/>
      <c r="S75" s="16"/>
      <c r="T75" s="146"/>
      <c r="U75" s="16"/>
    </row>
    <row r="76" spans="1:21">
      <c r="C76" s="155"/>
      <c r="D76" s="156"/>
      <c r="E76" s="155"/>
      <c r="F76" s="156"/>
      <c r="H76" s="155"/>
      <c r="I76" s="156"/>
      <c r="J76" s="155"/>
      <c r="K76" s="156"/>
      <c r="L76" s="1"/>
      <c r="M76" s="155"/>
      <c r="N76" s="156"/>
      <c r="O76" s="155"/>
      <c r="P76" s="156"/>
      <c r="Q76" s="1"/>
      <c r="R76" s="16"/>
      <c r="S76" s="16"/>
      <c r="T76" s="16"/>
      <c r="U76" s="16"/>
    </row>
    <row r="77" spans="1:21">
      <c r="C77" s="157" t="s">
        <v>23</v>
      </c>
      <c r="D77" s="158"/>
      <c r="E77" s="155"/>
      <c r="F77" s="164">
        <f>F32</f>
        <v>-4080</v>
      </c>
      <c r="H77" s="157" t="s">
        <v>23</v>
      </c>
      <c r="I77" s="158"/>
      <c r="J77" s="155"/>
      <c r="K77" s="164">
        <f>K32</f>
        <v>-4896</v>
      </c>
      <c r="L77" s="1"/>
      <c r="M77" s="157" t="s">
        <v>23</v>
      </c>
      <c r="N77" s="158"/>
      <c r="O77" s="155"/>
      <c r="P77" s="164">
        <f>P32</f>
        <v>-5712</v>
      </c>
      <c r="Q77" s="1"/>
      <c r="R77" s="211"/>
      <c r="S77" s="209"/>
      <c r="T77" s="16"/>
      <c r="U77" s="43"/>
    </row>
    <row r="78" spans="1:21" ht="15.75">
      <c r="C78" s="155"/>
      <c r="D78" s="156"/>
      <c r="E78" s="155"/>
      <c r="F78" s="156"/>
      <c r="H78" s="155"/>
      <c r="I78" s="156"/>
      <c r="J78" s="155"/>
      <c r="K78" s="156"/>
      <c r="L78" s="1"/>
      <c r="M78" s="155"/>
      <c r="N78" s="156"/>
      <c r="O78" s="155"/>
      <c r="P78" s="156"/>
      <c r="Q78" s="172"/>
      <c r="R78" s="16"/>
      <c r="S78" s="16"/>
      <c r="T78" s="16"/>
      <c r="U78" s="16"/>
    </row>
    <row r="79" spans="1:21" ht="15" customHeight="1">
      <c r="C79" s="159" t="s">
        <v>120</v>
      </c>
      <c r="D79" s="156"/>
      <c r="E79" s="155"/>
      <c r="F79" s="170">
        <f>(NPV(F73,F100:F119))</f>
        <v>9966.1387988286442</v>
      </c>
      <c r="G79" s="145"/>
      <c r="H79" s="159" t="s">
        <v>120</v>
      </c>
      <c r="I79" s="156"/>
      <c r="J79" s="155"/>
      <c r="K79" s="170">
        <f>(NPV(K73,K100:K115))</f>
        <v>13893.220455602703</v>
      </c>
      <c r="L79" s="145"/>
      <c r="M79" s="159" t="s">
        <v>120</v>
      </c>
      <c r="N79" s="156"/>
      <c r="O79" s="155"/>
      <c r="P79" s="170">
        <f>(NPV(P73,P100:P111))</f>
        <v>19741.272561628939</v>
      </c>
      <c r="Q79" s="173"/>
      <c r="R79" s="210"/>
      <c r="S79" s="16"/>
      <c r="T79" s="16"/>
      <c r="U79" s="212"/>
    </row>
    <row r="80" spans="1:21">
      <c r="C80" s="155"/>
      <c r="D80" s="156"/>
      <c r="E80" s="155"/>
      <c r="F80" s="156"/>
      <c r="H80" s="155"/>
      <c r="I80" s="156"/>
      <c r="J80" s="155"/>
      <c r="K80" s="156"/>
      <c r="L80" s="1"/>
      <c r="M80" s="155"/>
      <c r="N80" s="156"/>
      <c r="O80" s="155"/>
      <c r="P80" s="156"/>
      <c r="Q80" s="1"/>
      <c r="R80" s="16"/>
      <c r="S80" s="16"/>
      <c r="T80" s="16"/>
      <c r="U80" s="16"/>
    </row>
    <row r="81" spans="3:21">
      <c r="C81" s="159" t="s">
        <v>121</v>
      </c>
      <c r="D81" s="156"/>
      <c r="E81" s="166"/>
      <c r="F81" s="167">
        <f>F79+F77</f>
        <v>5886.1387988286442</v>
      </c>
      <c r="G81" s="150"/>
      <c r="H81" s="159" t="s">
        <v>121</v>
      </c>
      <c r="I81" s="156"/>
      <c r="J81" s="166"/>
      <c r="K81" s="167">
        <f>K79+K77</f>
        <v>8997.2204556027027</v>
      </c>
      <c r="L81" s="150"/>
      <c r="M81" s="159" t="s">
        <v>121</v>
      </c>
      <c r="N81" s="156"/>
      <c r="O81" s="166"/>
      <c r="P81" s="167">
        <f>P79+P77</f>
        <v>14029.272561628939</v>
      </c>
      <c r="Q81" s="1"/>
      <c r="R81" s="210"/>
      <c r="S81" s="16"/>
      <c r="T81" s="213"/>
      <c r="U81" s="150"/>
    </row>
    <row r="82" spans="3:21">
      <c r="C82" s="155"/>
      <c r="D82" s="156"/>
      <c r="E82" s="155"/>
      <c r="F82" s="156"/>
      <c r="G82" s="16"/>
      <c r="H82" s="155"/>
      <c r="I82" s="156"/>
      <c r="J82" s="155"/>
      <c r="K82" s="156"/>
      <c r="L82" s="16"/>
      <c r="M82" s="155"/>
      <c r="N82" s="156"/>
      <c r="O82" s="155"/>
      <c r="P82" s="156"/>
      <c r="Q82" s="1"/>
      <c r="R82" s="16"/>
      <c r="S82" s="16"/>
      <c r="T82" s="16"/>
      <c r="U82" s="16"/>
    </row>
    <row r="83" spans="3:21" ht="17.25" customHeight="1">
      <c r="C83" s="159" t="s">
        <v>118</v>
      </c>
      <c r="D83" s="156"/>
      <c r="E83" s="155"/>
      <c r="F83" s="168">
        <f>IRR(F32:F52)</f>
        <v>0.16492175472141721</v>
      </c>
      <c r="G83" s="146"/>
      <c r="H83" s="159" t="s">
        <v>118</v>
      </c>
      <c r="I83" s="156"/>
      <c r="J83" s="155"/>
      <c r="K83" s="168">
        <f>IRR(K32:K48)</f>
        <v>0.17746740703302419</v>
      </c>
      <c r="L83" s="146"/>
      <c r="M83" s="159" t="s">
        <v>118</v>
      </c>
      <c r="N83" s="156"/>
      <c r="O83" s="155"/>
      <c r="P83" s="168">
        <f>IRR(P32:P44)</f>
        <v>0.22191571512041891</v>
      </c>
      <c r="Q83" s="171"/>
      <c r="R83" s="210"/>
      <c r="S83" s="16"/>
      <c r="T83" s="16"/>
      <c r="U83" s="214"/>
    </row>
    <row r="84" spans="3:21">
      <c r="C84" s="155"/>
      <c r="D84" s="156"/>
      <c r="E84" s="155"/>
      <c r="F84" s="156"/>
      <c r="G84" s="16"/>
      <c r="H84" s="155"/>
      <c r="I84" s="156"/>
      <c r="J84" s="155"/>
      <c r="K84" s="156"/>
      <c r="L84" s="16"/>
      <c r="M84" s="155"/>
      <c r="N84" s="156"/>
      <c r="O84" s="155"/>
      <c r="P84" s="156"/>
      <c r="Q84" s="173"/>
      <c r="R84" s="16"/>
      <c r="S84" s="16"/>
      <c r="T84" s="16"/>
      <c r="U84" s="16"/>
    </row>
    <row r="85" spans="3:21">
      <c r="C85" s="155"/>
      <c r="D85" s="156"/>
      <c r="E85" s="155"/>
      <c r="F85" s="169"/>
      <c r="H85" s="155"/>
      <c r="I85" s="156"/>
      <c r="J85" s="155"/>
      <c r="K85" s="169"/>
      <c r="L85" s="1"/>
      <c r="M85" s="155"/>
      <c r="N85" s="156"/>
      <c r="O85" s="155"/>
      <c r="P85" s="169"/>
      <c r="Q85" s="173"/>
      <c r="R85" s="16"/>
      <c r="S85" s="16"/>
      <c r="T85" s="16"/>
      <c r="U85" s="215"/>
    </row>
    <row r="86" spans="3:21" ht="18.75">
      <c r="C86" s="160" t="s">
        <v>33</v>
      </c>
      <c r="D86" s="161"/>
      <c r="E86" s="277" t="s">
        <v>119</v>
      </c>
      <c r="F86" s="278"/>
      <c r="G86" s="147"/>
      <c r="H86" s="160" t="s">
        <v>33</v>
      </c>
      <c r="I86" s="161"/>
      <c r="J86" s="277" t="s">
        <v>119</v>
      </c>
      <c r="K86" s="278"/>
      <c r="L86" s="147"/>
      <c r="M86" s="160" t="s">
        <v>33</v>
      </c>
      <c r="N86" s="161"/>
      <c r="O86" s="277" t="s">
        <v>36</v>
      </c>
      <c r="P86" s="278"/>
      <c r="Q86" s="144"/>
      <c r="R86" s="147"/>
      <c r="S86" s="147"/>
      <c r="T86" s="296"/>
      <c r="U86" s="296"/>
    </row>
    <row r="87" spans="3:21">
      <c r="C87" s="16"/>
      <c r="D87" s="16"/>
      <c r="E87" s="16"/>
      <c r="F87" s="16"/>
      <c r="K87" s="1"/>
      <c r="L87" s="1"/>
      <c r="M87" s="1"/>
      <c r="N87" s="1"/>
      <c r="O87" s="1"/>
      <c r="P87" s="1"/>
      <c r="Q87" s="298"/>
      <c r="R87" s="298"/>
    </row>
    <row r="88" spans="3:21">
      <c r="K88" s="1"/>
      <c r="L88" s="1"/>
      <c r="M88" s="1"/>
      <c r="N88" s="1"/>
      <c r="O88" s="1"/>
      <c r="P88" s="1"/>
      <c r="Q88" s="1"/>
    </row>
    <row r="89" spans="3:21">
      <c r="K89" s="1"/>
      <c r="L89" s="1"/>
      <c r="M89" s="1"/>
      <c r="N89" s="1"/>
      <c r="O89" s="1"/>
      <c r="P89" s="1"/>
      <c r="Q89" s="1"/>
    </row>
    <row r="90" spans="3:21">
      <c r="K90" s="1"/>
      <c r="L90" s="1"/>
      <c r="M90" s="1"/>
      <c r="N90" s="1"/>
      <c r="O90" s="1"/>
      <c r="P90" s="1"/>
      <c r="Q90" s="1"/>
    </row>
    <row r="91" spans="3:21">
      <c r="K91" s="1"/>
      <c r="L91" s="1"/>
      <c r="M91" s="1"/>
      <c r="N91" s="1"/>
      <c r="O91" s="1"/>
      <c r="P91" s="1"/>
      <c r="Q91" s="1"/>
    </row>
    <row r="92" spans="3:21">
      <c r="K92" s="1"/>
      <c r="L92" s="1"/>
      <c r="M92" s="1"/>
      <c r="N92" s="1"/>
      <c r="O92" s="1"/>
      <c r="P92" s="1"/>
      <c r="Q92" s="1"/>
    </row>
    <row r="93" spans="3:21">
      <c r="K93" s="1"/>
      <c r="L93" s="1"/>
      <c r="M93" s="1"/>
      <c r="N93" s="1"/>
      <c r="O93" s="1"/>
      <c r="P93" s="1"/>
      <c r="Q93" s="1"/>
    </row>
    <row r="94" spans="3:21">
      <c r="K94" s="1"/>
      <c r="L94" s="1"/>
      <c r="M94" s="1"/>
      <c r="N94" s="1"/>
      <c r="O94" s="1"/>
      <c r="P94" s="1"/>
      <c r="Q94" s="1"/>
    </row>
    <row r="95" spans="3:21">
      <c r="K95" s="1"/>
      <c r="L95" s="1"/>
      <c r="M95" s="1"/>
      <c r="N95" s="1"/>
      <c r="O95" s="1"/>
      <c r="P95" s="1"/>
      <c r="Q95" s="1"/>
    </row>
    <row r="96" spans="3:21">
      <c r="K96" s="1"/>
      <c r="L96" s="1"/>
      <c r="M96" s="1"/>
      <c r="N96" s="1"/>
      <c r="O96" s="1"/>
      <c r="P96" s="1"/>
      <c r="Q96" s="1"/>
    </row>
    <row r="97" spans="1:22" ht="28.5" customHeight="1">
      <c r="A97" s="291" t="s">
        <v>25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</row>
    <row r="98" spans="1:22">
      <c r="K98" s="1"/>
      <c r="L98" s="1"/>
      <c r="M98" s="1"/>
      <c r="N98" s="1"/>
      <c r="O98" s="1"/>
      <c r="P98" s="1"/>
      <c r="Q98" s="1"/>
    </row>
    <row r="99" spans="1:22">
      <c r="C99" s="16" t="str">
        <f t="shared" ref="C99:E117" si="7">C32</f>
        <v>PLANTIO</v>
      </c>
      <c r="D99" s="16">
        <f t="shared" si="7"/>
        <v>0</v>
      </c>
      <c r="E99" s="16">
        <f t="shared" si="7"/>
        <v>2014</v>
      </c>
      <c r="F99" s="55">
        <v>0</v>
      </c>
      <c r="H99" s="16" t="str">
        <f t="shared" ref="H99:J115" si="8">H32</f>
        <v>PLANTIO</v>
      </c>
      <c r="I99" s="16">
        <f t="shared" si="8"/>
        <v>0</v>
      </c>
      <c r="J99" s="16">
        <f t="shared" si="8"/>
        <v>2014</v>
      </c>
      <c r="K99" s="55">
        <v>0</v>
      </c>
      <c r="L99" s="1"/>
      <c r="M99" s="16" t="str">
        <f t="shared" ref="M99:O111" si="9">M32</f>
        <v>PLANTIO</v>
      </c>
      <c r="N99" s="16">
        <f t="shared" si="9"/>
        <v>0</v>
      </c>
      <c r="O99" s="16">
        <f t="shared" si="9"/>
        <v>2014</v>
      </c>
      <c r="P99" s="55">
        <v>0</v>
      </c>
      <c r="Q99" s="1"/>
      <c r="R99" s="16"/>
      <c r="S99" s="16"/>
      <c r="T99" s="16"/>
      <c r="U99" s="55"/>
    </row>
    <row r="100" spans="1:22">
      <c r="C100" s="16">
        <f t="shared" si="7"/>
        <v>0</v>
      </c>
      <c r="D100" s="16">
        <f t="shared" si="7"/>
        <v>1</v>
      </c>
      <c r="E100" s="16">
        <f t="shared" si="7"/>
        <v>2015</v>
      </c>
      <c r="F100" s="55">
        <f t="shared" ref="F100:F117" si="10">F33</f>
        <v>0</v>
      </c>
      <c r="H100" s="16">
        <f t="shared" si="8"/>
        <v>0</v>
      </c>
      <c r="I100" s="16">
        <f t="shared" si="8"/>
        <v>1</v>
      </c>
      <c r="J100" s="16">
        <f t="shared" si="8"/>
        <v>2015</v>
      </c>
      <c r="K100" s="55">
        <f t="shared" ref="K100:K115" si="11">K33</f>
        <v>0</v>
      </c>
      <c r="L100" s="1"/>
      <c r="M100" s="16">
        <f t="shared" si="9"/>
        <v>0</v>
      </c>
      <c r="N100" s="16">
        <f t="shared" si="9"/>
        <v>1</v>
      </c>
      <c r="O100" s="16">
        <f t="shared" si="9"/>
        <v>2015</v>
      </c>
      <c r="P100" s="55">
        <f t="shared" ref="P100:P111" si="12">P33</f>
        <v>0</v>
      </c>
      <c r="Q100" s="1"/>
      <c r="R100" s="16"/>
      <c r="S100" s="16"/>
      <c r="T100" s="16"/>
      <c r="U100" s="55"/>
    </row>
    <row r="101" spans="1:22">
      <c r="C101" s="16">
        <f t="shared" si="7"/>
        <v>0</v>
      </c>
      <c r="D101" s="16">
        <f t="shared" si="7"/>
        <v>2</v>
      </c>
      <c r="E101" s="16">
        <f t="shared" si="7"/>
        <v>2016</v>
      </c>
      <c r="F101" s="55">
        <f t="shared" si="10"/>
        <v>0</v>
      </c>
      <c r="H101" s="16">
        <f t="shared" si="8"/>
        <v>0</v>
      </c>
      <c r="I101" s="16">
        <f t="shared" si="8"/>
        <v>2</v>
      </c>
      <c r="J101" s="16">
        <f t="shared" si="8"/>
        <v>2016</v>
      </c>
      <c r="K101" s="55">
        <f t="shared" si="11"/>
        <v>0</v>
      </c>
      <c r="L101" s="1"/>
      <c r="M101" s="16">
        <f t="shared" si="9"/>
        <v>0</v>
      </c>
      <c r="N101" s="16">
        <f t="shared" si="9"/>
        <v>2</v>
      </c>
      <c r="O101" s="16">
        <f t="shared" si="9"/>
        <v>2016</v>
      </c>
      <c r="P101" s="55">
        <f t="shared" si="12"/>
        <v>0</v>
      </c>
      <c r="Q101" s="1"/>
      <c r="R101" s="16"/>
      <c r="S101" s="16"/>
      <c r="T101" s="16"/>
      <c r="U101" s="55"/>
    </row>
    <row r="102" spans="1:22">
      <c r="C102" s="16">
        <f t="shared" si="7"/>
        <v>0</v>
      </c>
      <c r="D102" s="16">
        <f t="shared" si="7"/>
        <v>3</v>
      </c>
      <c r="E102" s="16">
        <f t="shared" si="7"/>
        <v>2017</v>
      </c>
      <c r="F102" s="55">
        <f t="shared" si="10"/>
        <v>0</v>
      </c>
      <c r="H102" s="16">
        <f t="shared" si="8"/>
        <v>0</v>
      </c>
      <c r="I102" s="16">
        <f t="shared" si="8"/>
        <v>3</v>
      </c>
      <c r="J102" s="16">
        <f t="shared" si="8"/>
        <v>2017</v>
      </c>
      <c r="K102" s="55">
        <f t="shared" si="11"/>
        <v>0</v>
      </c>
      <c r="L102" s="1"/>
      <c r="M102" s="16">
        <f t="shared" si="9"/>
        <v>0</v>
      </c>
      <c r="N102" s="16">
        <f t="shared" si="9"/>
        <v>3</v>
      </c>
      <c r="O102" s="16">
        <f t="shared" si="9"/>
        <v>2017</v>
      </c>
      <c r="P102" s="55">
        <f t="shared" si="12"/>
        <v>0</v>
      </c>
      <c r="Q102" s="1"/>
      <c r="R102" s="16"/>
      <c r="S102" s="16"/>
      <c r="T102" s="16"/>
      <c r="U102" s="55"/>
    </row>
    <row r="103" spans="1:22">
      <c r="C103" s="16">
        <f t="shared" si="7"/>
        <v>0</v>
      </c>
      <c r="D103" s="16">
        <f t="shared" si="7"/>
        <v>4</v>
      </c>
      <c r="E103" s="16">
        <f t="shared" si="7"/>
        <v>2018</v>
      </c>
      <c r="F103" s="55">
        <f t="shared" si="10"/>
        <v>0</v>
      </c>
      <c r="H103" s="16">
        <f t="shared" si="8"/>
        <v>0</v>
      </c>
      <c r="I103" s="16">
        <f t="shared" si="8"/>
        <v>4</v>
      </c>
      <c r="J103" s="16">
        <f t="shared" si="8"/>
        <v>2018</v>
      </c>
      <c r="K103" s="55">
        <f t="shared" si="11"/>
        <v>0</v>
      </c>
      <c r="L103" s="1"/>
      <c r="M103" s="16">
        <f t="shared" si="9"/>
        <v>0</v>
      </c>
      <c r="N103" s="16">
        <f t="shared" si="9"/>
        <v>4</v>
      </c>
      <c r="O103" s="16">
        <f t="shared" si="9"/>
        <v>2018</v>
      </c>
      <c r="P103" s="55">
        <f t="shared" si="12"/>
        <v>0</v>
      </c>
      <c r="Q103" s="1"/>
      <c r="R103" s="16"/>
      <c r="S103" s="16"/>
      <c r="T103" s="16"/>
      <c r="U103" s="55"/>
    </row>
    <row r="104" spans="1:22">
      <c r="C104" s="16">
        <f t="shared" si="7"/>
        <v>0</v>
      </c>
      <c r="D104" s="16">
        <f t="shared" si="7"/>
        <v>5</v>
      </c>
      <c r="E104" s="16">
        <f t="shared" si="7"/>
        <v>2019</v>
      </c>
      <c r="F104" s="55">
        <f t="shared" si="10"/>
        <v>0</v>
      </c>
      <c r="H104" s="16">
        <f t="shared" si="8"/>
        <v>0</v>
      </c>
      <c r="I104" s="16">
        <f t="shared" si="8"/>
        <v>5</v>
      </c>
      <c r="J104" s="16">
        <f t="shared" si="8"/>
        <v>2019</v>
      </c>
      <c r="K104" s="55">
        <f t="shared" si="11"/>
        <v>0</v>
      </c>
      <c r="L104" s="1"/>
      <c r="M104" s="16">
        <f t="shared" si="9"/>
        <v>0</v>
      </c>
      <c r="N104" s="16">
        <f t="shared" si="9"/>
        <v>5</v>
      </c>
      <c r="O104" s="16">
        <f t="shared" si="9"/>
        <v>2019</v>
      </c>
      <c r="P104" s="55">
        <f t="shared" si="12"/>
        <v>0</v>
      </c>
      <c r="Q104" s="1"/>
      <c r="R104" s="16"/>
      <c r="S104" s="16"/>
      <c r="T104" s="16"/>
      <c r="U104" s="55"/>
    </row>
    <row r="105" spans="1:22">
      <c r="C105" s="16">
        <f t="shared" si="7"/>
        <v>0</v>
      </c>
      <c r="D105" s="16">
        <f t="shared" si="7"/>
        <v>6</v>
      </c>
      <c r="E105" s="16">
        <f t="shared" si="7"/>
        <v>2020</v>
      </c>
      <c r="F105" s="55">
        <f t="shared" si="10"/>
        <v>0</v>
      </c>
      <c r="H105" s="16">
        <f t="shared" si="8"/>
        <v>0</v>
      </c>
      <c r="I105" s="16">
        <f t="shared" si="8"/>
        <v>6</v>
      </c>
      <c r="J105" s="16">
        <f t="shared" si="8"/>
        <v>2020</v>
      </c>
      <c r="K105" s="55">
        <f t="shared" si="11"/>
        <v>0</v>
      </c>
      <c r="L105" s="1"/>
      <c r="M105" s="16">
        <f t="shared" si="9"/>
        <v>0</v>
      </c>
      <c r="N105" s="16">
        <f t="shared" si="9"/>
        <v>6</v>
      </c>
      <c r="O105" s="16">
        <f t="shared" si="9"/>
        <v>2020</v>
      </c>
      <c r="P105" s="55">
        <f t="shared" si="12"/>
        <v>0</v>
      </c>
      <c r="Q105" s="1"/>
      <c r="R105" s="16"/>
      <c r="S105" s="16"/>
      <c r="T105" s="16"/>
      <c r="U105" s="55"/>
    </row>
    <row r="106" spans="1:22">
      <c r="C106" s="16">
        <f t="shared" si="7"/>
        <v>0</v>
      </c>
      <c r="D106" s="16">
        <f t="shared" si="7"/>
        <v>7</v>
      </c>
      <c r="E106" s="16">
        <f t="shared" si="7"/>
        <v>2021</v>
      </c>
      <c r="F106" s="55">
        <f t="shared" si="10"/>
        <v>0</v>
      </c>
      <c r="G106" s="55"/>
      <c r="H106" s="55">
        <f t="shared" si="8"/>
        <v>0</v>
      </c>
      <c r="I106" s="16">
        <f t="shared" si="8"/>
        <v>7</v>
      </c>
      <c r="J106" s="16">
        <f t="shared" si="8"/>
        <v>2021</v>
      </c>
      <c r="K106" s="55">
        <f t="shared" si="11"/>
        <v>0</v>
      </c>
      <c r="L106" s="1"/>
      <c r="M106" s="16">
        <f t="shared" si="9"/>
        <v>0</v>
      </c>
      <c r="N106" s="16">
        <f t="shared" si="9"/>
        <v>7</v>
      </c>
      <c r="O106" s="16">
        <f t="shared" si="9"/>
        <v>2021</v>
      </c>
      <c r="P106" s="55">
        <f t="shared" si="12"/>
        <v>0</v>
      </c>
      <c r="Q106" s="1"/>
      <c r="R106" s="16"/>
      <c r="S106" s="16"/>
      <c r="T106" s="16"/>
      <c r="U106" s="55"/>
    </row>
    <row r="107" spans="1:22">
      <c r="C107" s="16" t="str">
        <f t="shared" si="7"/>
        <v>2.º desbaste</v>
      </c>
      <c r="D107" s="16">
        <f t="shared" si="7"/>
        <v>8</v>
      </c>
      <c r="E107" s="16">
        <f t="shared" si="7"/>
        <v>2022</v>
      </c>
      <c r="F107" s="55">
        <f t="shared" si="10"/>
        <v>2700</v>
      </c>
      <c r="H107" s="16" t="str">
        <f t="shared" si="8"/>
        <v>2.º desbaste</v>
      </c>
      <c r="I107" s="16">
        <f t="shared" si="8"/>
        <v>8</v>
      </c>
      <c r="J107" s="16">
        <f t="shared" si="8"/>
        <v>2022</v>
      </c>
      <c r="K107" s="55">
        <f t="shared" si="11"/>
        <v>2700</v>
      </c>
      <c r="L107" s="1"/>
      <c r="M107" s="16" t="str">
        <f t="shared" si="9"/>
        <v>2.º desbaste</v>
      </c>
      <c r="N107" s="16">
        <f t="shared" si="9"/>
        <v>8</v>
      </c>
      <c r="O107" s="16">
        <f t="shared" si="9"/>
        <v>2022</v>
      </c>
      <c r="P107" s="55">
        <f t="shared" si="12"/>
        <v>2700</v>
      </c>
      <c r="Q107" s="1"/>
      <c r="R107" s="16"/>
      <c r="S107" s="16"/>
      <c r="T107" s="16"/>
      <c r="U107" s="55"/>
    </row>
    <row r="108" spans="1:22">
      <c r="C108" s="16" t="str">
        <f t="shared" si="7"/>
        <v>tratos culturais</v>
      </c>
      <c r="D108" s="16">
        <f t="shared" si="7"/>
        <v>9</v>
      </c>
      <c r="E108" s="16">
        <f t="shared" si="7"/>
        <v>2023</v>
      </c>
      <c r="F108" s="43">
        <f t="shared" si="10"/>
        <v>-500</v>
      </c>
      <c r="H108" s="16" t="str">
        <f t="shared" si="8"/>
        <v>tratos culturais</v>
      </c>
      <c r="I108" s="16">
        <f t="shared" si="8"/>
        <v>9</v>
      </c>
      <c r="J108" s="16">
        <f t="shared" si="8"/>
        <v>2023</v>
      </c>
      <c r="K108" s="43">
        <f t="shared" si="11"/>
        <v>-1000</v>
      </c>
      <c r="L108" s="1"/>
      <c r="M108" s="16" t="str">
        <f t="shared" si="9"/>
        <v>tratos culturais</v>
      </c>
      <c r="N108" s="16">
        <f t="shared" si="9"/>
        <v>9</v>
      </c>
      <c r="O108" s="16">
        <f t="shared" si="9"/>
        <v>2023</v>
      </c>
      <c r="P108" s="43">
        <f t="shared" si="12"/>
        <v>-1500</v>
      </c>
      <c r="Q108" s="1"/>
      <c r="R108" s="16"/>
      <c r="S108" s="16"/>
      <c r="T108" s="16"/>
      <c r="U108" s="55"/>
    </row>
    <row r="109" spans="1:22">
      <c r="C109" s="16">
        <f t="shared" si="7"/>
        <v>0</v>
      </c>
      <c r="D109" s="16">
        <f t="shared" si="7"/>
        <v>10</v>
      </c>
      <c r="E109" s="16">
        <f t="shared" si="7"/>
        <v>2024</v>
      </c>
      <c r="F109" s="55">
        <f t="shared" si="10"/>
        <v>0</v>
      </c>
      <c r="H109" s="16">
        <f t="shared" si="8"/>
        <v>0</v>
      </c>
      <c r="I109" s="16">
        <f t="shared" si="8"/>
        <v>10</v>
      </c>
      <c r="J109" s="16">
        <f t="shared" si="8"/>
        <v>2024</v>
      </c>
      <c r="K109" s="55">
        <f t="shared" si="11"/>
        <v>0</v>
      </c>
      <c r="L109" s="1"/>
      <c r="M109" s="16">
        <f t="shared" si="9"/>
        <v>0</v>
      </c>
      <c r="N109" s="16">
        <f t="shared" si="9"/>
        <v>10</v>
      </c>
      <c r="O109" s="16">
        <f t="shared" si="9"/>
        <v>2024</v>
      </c>
      <c r="P109" s="55">
        <f t="shared" si="12"/>
        <v>0</v>
      </c>
      <c r="Q109" s="1"/>
      <c r="R109" s="16"/>
      <c r="S109" s="16"/>
      <c r="T109" s="16"/>
      <c r="U109" s="55"/>
    </row>
    <row r="110" spans="1:22">
      <c r="C110" s="16">
        <f t="shared" si="7"/>
        <v>0</v>
      </c>
      <c r="D110" s="16">
        <f t="shared" si="7"/>
        <v>11</v>
      </c>
      <c r="E110" s="16">
        <f t="shared" si="7"/>
        <v>2025</v>
      </c>
      <c r="F110" s="55">
        <f t="shared" si="10"/>
        <v>0</v>
      </c>
      <c r="H110" s="16">
        <f t="shared" si="8"/>
        <v>0</v>
      </c>
      <c r="I110" s="16">
        <f t="shared" si="8"/>
        <v>11</v>
      </c>
      <c r="J110" s="16">
        <f t="shared" si="8"/>
        <v>2025</v>
      </c>
      <c r="K110" s="55">
        <f t="shared" si="11"/>
        <v>0</v>
      </c>
      <c r="L110" s="1"/>
      <c r="M110" s="16">
        <f t="shared" si="9"/>
        <v>0</v>
      </c>
      <c r="N110" s="16">
        <f t="shared" si="9"/>
        <v>11</v>
      </c>
      <c r="O110" s="16">
        <f t="shared" si="9"/>
        <v>2025</v>
      </c>
      <c r="P110" s="55">
        <f t="shared" si="12"/>
        <v>0</v>
      </c>
      <c r="Q110" s="1"/>
      <c r="R110" s="16"/>
      <c r="S110" s="16"/>
      <c r="T110" s="16"/>
      <c r="U110" s="55"/>
    </row>
    <row r="111" spans="1:22">
      <c r="C111" s="16">
        <f t="shared" si="7"/>
        <v>0</v>
      </c>
      <c r="D111" s="16">
        <f t="shared" si="7"/>
        <v>12</v>
      </c>
      <c r="E111" s="16">
        <f t="shared" si="7"/>
        <v>2026</v>
      </c>
      <c r="F111" s="55">
        <f t="shared" si="10"/>
        <v>0</v>
      </c>
      <c r="H111" s="16">
        <f t="shared" si="8"/>
        <v>0</v>
      </c>
      <c r="I111" s="16">
        <f t="shared" si="8"/>
        <v>12</v>
      </c>
      <c r="J111" s="16">
        <f t="shared" si="8"/>
        <v>2026</v>
      </c>
      <c r="K111" s="55">
        <f t="shared" si="11"/>
        <v>0</v>
      </c>
      <c r="L111" s="1"/>
      <c r="M111" s="121" t="str">
        <f t="shared" si="9"/>
        <v>corte das toras</v>
      </c>
      <c r="N111" s="121">
        <f t="shared" si="9"/>
        <v>12</v>
      </c>
      <c r="O111" s="16">
        <f t="shared" si="9"/>
        <v>2026</v>
      </c>
      <c r="P111" s="55">
        <f t="shared" si="12"/>
        <v>60000</v>
      </c>
      <c r="Q111" s="1"/>
      <c r="R111" s="16"/>
      <c r="S111" s="16"/>
      <c r="T111" s="16"/>
      <c r="U111" s="55"/>
    </row>
    <row r="112" spans="1:22">
      <c r="C112" s="16">
        <f t="shared" si="7"/>
        <v>0</v>
      </c>
      <c r="D112" s="16">
        <f t="shared" si="7"/>
        <v>13</v>
      </c>
      <c r="E112" s="16">
        <f t="shared" si="7"/>
        <v>2027</v>
      </c>
      <c r="F112" s="55">
        <f t="shared" si="10"/>
        <v>0</v>
      </c>
      <c r="H112" s="16">
        <f t="shared" si="8"/>
        <v>0</v>
      </c>
      <c r="I112" s="16">
        <f t="shared" si="8"/>
        <v>13</v>
      </c>
      <c r="J112" s="16">
        <f t="shared" si="8"/>
        <v>2027</v>
      </c>
      <c r="K112" s="55">
        <f t="shared" si="11"/>
        <v>0</v>
      </c>
      <c r="L112" s="1"/>
      <c r="M112" s="16"/>
      <c r="N112" s="16"/>
      <c r="O112" s="16"/>
      <c r="P112" s="43"/>
      <c r="Q112" s="1"/>
    </row>
    <row r="113" spans="3:17">
      <c r="C113" s="16">
        <f t="shared" si="7"/>
        <v>0</v>
      </c>
      <c r="D113" s="16">
        <f t="shared" si="7"/>
        <v>14</v>
      </c>
      <c r="E113" s="16">
        <f t="shared" si="7"/>
        <v>2028</v>
      </c>
      <c r="F113" s="55">
        <f t="shared" si="10"/>
        <v>0</v>
      </c>
      <c r="H113" s="16">
        <f t="shared" si="8"/>
        <v>0</v>
      </c>
      <c r="I113" s="16">
        <f t="shared" si="8"/>
        <v>14</v>
      </c>
      <c r="J113" s="16">
        <f t="shared" si="8"/>
        <v>2028</v>
      </c>
      <c r="K113" s="55">
        <f t="shared" si="11"/>
        <v>0</v>
      </c>
      <c r="L113" s="1"/>
      <c r="M113" s="16"/>
      <c r="N113" s="16"/>
      <c r="O113" s="16"/>
      <c r="P113" s="55"/>
      <c r="Q113" s="1"/>
    </row>
    <row r="114" spans="3:17">
      <c r="C114" s="16">
        <f t="shared" si="7"/>
        <v>0</v>
      </c>
      <c r="D114" s="16">
        <f t="shared" si="7"/>
        <v>15</v>
      </c>
      <c r="E114" s="16">
        <f t="shared" si="7"/>
        <v>2029</v>
      </c>
      <c r="F114" s="55">
        <f t="shared" si="10"/>
        <v>0</v>
      </c>
      <c r="H114" s="16">
        <f t="shared" si="8"/>
        <v>0</v>
      </c>
      <c r="I114" s="16">
        <f t="shared" si="8"/>
        <v>15</v>
      </c>
      <c r="J114" s="16">
        <f t="shared" si="8"/>
        <v>2029</v>
      </c>
      <c r="K114" s="55">
        <f t="shared" si="11"/>
        <v>0</v>
      </c>
      <c r="L114" s="1"/>
      <c r="M114" s="16"/>
      <c r="N114" s="16"/>
      <c r="O114" s="16"/>
      <c r="P114" s="55"/>
      <c r="Q114" s="1"/>
    </row>
    <row r="115" spans="3:17">
      <c r="C115" s="16">
        <f t="shared" si="7"/>
        <v>0</v>
      </c>
      <c r="D115" s="16">
        <f t="shared" si="7"/>
        <v>16</v>
      </c>
      <c r="E115" s="16">
        <f t="shared" si="7"/>
        <v>2030</v>
      </c>
      <c r="F115" s="55">
        <f t="shared" si="10"/>
        <v>0</v>
      </c>
      <c r="H115" s="121" t="str">
        <f t="shared" si="8"/>
        <v>corte das toras</v>
      </c>
      <c r="I115" s="121">
        <f t="shared" si="8"/>
        <v>16</v>
      </c>
      <c r="J115" s="16">
        <f t="shared" si="8"/>
        <v>2030</v>
      </c>
      <c r="K115" s="55">
        <f t="shared" si="11"/>
        <v>60000</v>
      </c>
      <c r="L115" s="1"/>
      <c r="M115" s="16"/>
      <c r="N115" s="16"/>
      <c r="O115" s="16"/>
      <c r="P115" s="55"/>
      <c r="Q115" s="1"/>
    </row>
    <row r="116" spans="3:17">
      <c r="C116" s="16">
        <f t="shared" si="7"/>
        <v>0</v>
      </c>
      <c r="D116" s="16">
        <f t="shared" si="7"/>
        <v>17</v>
      </c>
      <c r="E116" s="16">
        <f t="shared" si="7"/>
        <v>2031</v>
      </c>
      <c r="F116" s="55">
        <f t="shared" si="10"/>
        <v>0</v>
      </c>
      <c r="H116" s="16"/>
      <c r="I116" s="16"/>
      <c r="J116" s="16"/>
      <c r="K116" s="55"/>
      <c r="L116" s="1"/>
      <c r="M116" s="16"/>
      <c r="N116" s="16"/>
      <c r="O116" s="16"/>
      <c r="P116" s="55"/>
      <c r="Q116" s="1"/>
    </row>
    <row r="117" spans="3:17">
      <c r="C117" s="16">
        <f t="shared" si="7"/>
        <v>0</v>
      </c>
      <c r="D117" s="16">
        <f t="shared" si="7"/>
        <v>18</v>
      </c>
      <c r="E117" s="16">
        <f t="shared" si="7"/>
        <v>2032</v>
      </c>
      <c r="F117" s="55">
        <f t="shared" si="10"/>
        <v>0</v>
      </c>
      <c r="H117" s="16"/>
      <c r="I117" s="16"/>
      <c r="J117" s="16"/>
      <c r="K117" s="55"/>
      <c r="L117" s="1"/>
      <c r="M117" s="16"/>
      <c r="N117" s="16"/>
      <c r="O117" s="16"/>
      <c r="P117" s="55"/>
      <c r="Q117" s="1"/>
    </row>
    <row r="118" spans="3:17">
      <c r="C118" s="16">
        <f t="shared" ref="C118:F119" si="13">C51</f>
        <v>0</v>
      </c>
      <c r="D118" s="16">
        <f t="shared" si="13"/>
        <v>19</v>
      </c>
      <c r="E118" s="16">
        <f t="shared" si="13"/>
        <v>2033</v>
      </c>
      <c r="F118" s="55">
        <f t="shared" si="13"/>
        <v>0</v>
      </c>
      <c r="K118" s="12"/>
      <c r="L118" s="1"/>
      <c r="M118" s="1"/>
      <c r="N118" s="1"/>
      <c r="O118" s="1"/>
      <c r="P118" s="12"/>
      <c r="Q118" s="1"/>
    </row>
    <row r="119" spans="3:17">
      <c r="C119" s="121" t="str">
        <f t="shared" si="13"/>
        <v>corte das toras</v>
      </c>
      <c r="D119" s="121">
        <f t="shared" si="13"/>
        <v>20</v>
      </c>
      <c r="E119" s="16">
        <f t="shared" si="13"/>
        <v>2034</v>
      </c>
      <c r="F119" s="55">
        <f t="shared" si="13"/>
        <v>60000</v>
      </c>
      <c r="K119" s="12"/>
      <c r="L119" s="1"/>
      <c r="M119" s="1"/>
      <c r="N119" s="1"/>
      <c r="O119" s="1"/>
      <c r="P119" s="12"/>
      <c r="Q119" s="1"/>
    </row>
  </sheetData>
  <mergeCells count="26">
    <mergeCell ref="A97:V97"/>
    <mergeCell ref="A67:U67"/>
    <mergeCell ref="A29:W29"/>
    <mergeCell ref="A5:S5"/>
    <mergeCell ref="T86:U86"/>
    <mergeCell ref="E86:F86"/>
    <mergeCell ref="J86:K86"/>
    <mergeCell ref="O86:P86"/>
    <mergeCell ref="R31:U31"/>
    <mergeCell ref="R71:U71"/>
    <mergeCell ref="Q87:R87"/>
    <mergeCell ref="C31:F31"/>
    <mergeCell ref="C71:F71"/>
    <mergeCell ref="G1:P1"/>
    <mergeCell ref="M71:P71"/>
    <mergeCell ref="N16:Q16"/>
    <mergeCell ref="N18:Q18"/>
    <mergeCell ref="N19:Q19"/>
    <mergeCell ref="N12:Q12"/>
    <mergeCell ref="N13:Q13"/>
    <mergeCell ref="N14:Q14"/>
    <mergeCell ref="N15:Q15"/>
    <mergeCell ref="N17:Q17"/>
    <mergeCell ref="H31:K31"/>
    <mergeCell ref="M31:P31"/>
    <mergeCell ref="H71:K7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abSelected="1" topLeftCell="A10" workbookViewId="0">
      <selection activeCell="E21" sqref="E21"/>
    </sheetView>
  </sheetViews>
  <sheetFormatPr defaultRowHeight="15"/>
  <cols>
    <col min="1" max="1" width="4.5703125" style="2" customWidth="1"/>
    <col min="2" max="2" width="20.28515625" style="2" customWidth="1"/>
    <col min="3" max="3" width="11.85546875" style="2" customWidth="1"/>
    <col min="4" max="4" width="5.5703125" style="2" customWidth="1"/>
    <col min="5" max="5" width="15.7109375" style="2" customWidth="1"/>
    <col min="6" max="6" width="5" style="2" customWidth="1"/>
    <col min="7" max="7" width="12.5703125" style="2" customWidth="1"/>
    <col min="8" max="8" width="5.140625" style="2" customWidth="1"/>
    <col min="9" max="9" width="11.140625" style="2" customWidth="1"/>
    <col min="10" max="14" width="9.140625" style="2"/>
    <col min="15" max="15" width="9.85546875" style="2" bestFit="1" customWidth="1"/>
    <col min="16" max="16384" width="9.140625" style="2"/>
  </cols>
  <sheetData>
    <row r="1" spans="2:15" ht="21">
      <c r="B1" s="26"/>
      <c r="C1" s="35"/>
      <c r="D1" s="35"/>
      <c r="E1" s="4"/>
      <c r="F1" s="27"/>
      <c r="G1" s="35"/>
    </row>
    <row r="2" spans="2:15">
      <c r="B2" s="1"/>
      <c r="C2" s="1"/>
      <c r="D2" s="1"/>
      <c r="G2" s="14"/>
      <c r="H2" s="14"/>
      <c r="I2" s="14"/>
      <c r="J2" s="14"/>
      <c r="K2" s="14"/>
      <c r="L2" s="14"/>
    </row>
    <row r="3" spans="2:15">
      <c r="B3" s="1"/>
      <c r="C3" s="37"/>
      <c r="D3" s="37"/>
      <c r="E3" s="4"/>
      <c r="G3" s="37"/>
    </row>
    <row r="4" spans="2:15">
      <c r="B4" s="1"/>
      <c r="C4" s="37"/>
      <c r="D4" s="37"/>
      <c r="E4" s="4"/>
      <c r="G4" s="37"/>
    </row>
    <row r="5" spans="2:15" ht="17.25" customHeight="1"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131"/>
    </row>
    <row r="7" spans="2:15" s="125" customFormat="1" ht="16.5" customHeight="1">
      <c r="B7" s="300" t="s">
        <v>76</v>
      </c>
      <c r="C7" s="301"/>
      <c r="D7" s="222"/>
      <c r="E7" s="223" t="s">
        <v>92</v>
      </c>
      <c r="F7" s="224"/>
      <c r="G7" s="223" t="s">
        <v>92</v>
      </c>
      <c r="H7" s="224"/>
      <c r="I7" s="223" t="s">
        <v>92</v>
      </c>
      <c r="K7" s="126" t="s">
        <v>63</v>
      </c>
      <c r="L7" s="299" t="s">
        <v>64</v>
      </c>
      <c r="M7" s="299"/>
      <c r="N7" s="299"/>
      <c r="O7" s="299"/>
    </row>
    <row r="8" spans="2:15" s="125" customFormat="1" ht="16.5" customHeight="1">
      <c r="B8" s="300" t="s">
        <v>88</v>
      </c>
      <c r="C8" s="301"/>
      <c r="D8" s="130"/>
      <c r="E8" s="225" t="s">
        <v>86</v>
      </c>
      <c r="F8" s="226"/>
      <c r="G8" s="225" t="s">
        <v>37</v>
      </c>
      <c r="H8" s="227"/>
      <c r="I8" s="225" t="s">
        <v>37</v>
      </c>
      <c r="K8" s="120"/>
      <c r="L8" s="299" t="s">
        <v>65</v>
      </c>
      <c r="M8" s="299"/>
      <c r="N8" s="299"/>
      <c r="O8" s="299"/>
    </row>
    <row r="9" spans="2:15" s="125" customFormat="1" ht="16.5" customHeight="1">
      <c r="B9" s="300" t="s">
        <v>93</v>
      </c>
      <c r="C9" s="301"/>
      <c r="D9" s="228"/>
      <c r="E9" s="225" t="s">
        <v>94</v>
      </c>
      <c r="F9" s="227"/>
      <c r="G9" s="225" t="s">
        <v>95</v>
      </c>
      <c r="H9" s="227"/>
      <c r="I9" s="225" t="s">
        <v>95</v>
      </c>
      <c r="K9" s="120"/>
      <c r="L9" s="299" t="s">
        <v>66</v>
      </c>
      <c r="M9" s="299"/>
      <c r="N9" s="299"/>
      <c r="O9" s="299"/>
    </row>
    <row r="10" spans="2:15" s="130" customFormat="1" ht="16.5" customHeight="1">
      <c r="B10" s="304" t="s">
        <v>107</v>
      </c>
      <c r="C10" s="305"/>
      <c r="D10" s="125"/>
      <c r="E10" s="229" t="s">
        <v>108</v>
      </c>
      <c r="F10" s="230"/>
      <c r="G10" s="229" t="s">
        <v>109</v>
      </c>
      <c r="H10" s="230"/>
      <c r="I10" s="231" t="s">
        <v>110</v>
      </c>
      <c r="K10" s="120"/>
      <c r="L10" s="299" t="s">
        <v>67</v>
      </c>
      <c r="M10" s="299"/>
      <c r="N10" s="299"/>
      <c r="O10" s="299"/>
    </row>
    <row r="11" spans="2:15" s="125" customFormat="1" ht="16.5" customHeight="1">
      <c r="B11" s="304" t="s">
        <v>29</v>
      </c>
      <c r="C11" s="305"/>
      <c r="E11" s="229">
        <v>1111</v>
      </c>
      <c r="F11" s="230"/>
      <c r="G11" s="229">
        <v>1111</v>
      </c>
      <c r="H11" s="230"/>
      <c r="I11" s="231">
        <v>816</v>
      </c>
      <c r="K11" s="120"/>
      <c r="L11" s="299" t="s">
        <v>68</v>
      </c>
      <c r="M11" s="299"/>
      <c r="N11" s="299"/>
      <c r="O11" s="299"/>
    </row>
    <row r="12" spans="2:15" s="125" customFormat="1" ht="16.5" customHeight="1">
      <c r="B12" s="300" t="s">
        <v>89</v>
      </c>
      <c r="C12" s="301"/>
      <c r="E12" s="232" t="s">
        <v>87</v>
      </c>
      <c r="F12" s="227"/>
      <c r="G12" s="232" t="s">
        <v>87</v>
      </c>
      <c r="H12" s="227"/>
      <c r="I12" s="225" t="s">
        <v>85</v>
      </c>
      <c r="K12" s="120"/>
      <c r="L12" s="299" t="s">
        <v>69</v>
      </c>
      <c r="M12" s="299"/>
      <c r="N12" s="299"/>
      <c r="O12" s="299"/>
    </row>
    <row r="13" spans="2:15" ht="16.5" customHeight="1">
      <c r="B13" s="125"/>
      <c r="C13" s="125"/>
      <c r="D13" s="125"/>
      <c r="E13" s="125"/>
      <c r="F13" s="125"/>
      <c r="G13" s="125"/>
      <c r="H13" s="125"/>
      <c r="I13" s="125"/>
      <c r="L13" s="308" t="s">
        <v>74</v>
      </c>
      <c r="M13" s="308"/>
      <c r="N13" s="308"/>
      <c r="O13" s="308"/>
    </row>
    <row r="14" spans="2:15" s="125" customFormat="1" ht="16.5" customHeight="1">
      <c r="B14" s="302" t="s">
        <v>124</v>
      </c>
      <c r="C14" s="303"/>
      <c r="D14" s="233"/>
      <c r="E14" s="234">
        <f>'analise financ ciclo curto'!O61</f>
        <v>6</v>
      </c>
      <c r="F14" s="233"/>
      <c r="G14" s="234">
        <f>'analise financ ciclo longo 1111'!P75</f>
        <v>12</v>
      </c>
      <c r="H14" s="233"/>
      <c r="I14" s="234">
        <f>'analise financ ciclo longo 816'!P75</f>
        <v>12</v>
      </c>
      <c r="L14" s="308" t="s">
        <v>75</v>
      </c>
      <c r="M14" s="308"/>
      <c r="N14" s="308"/>
      <c r="O14" s="308"/>
    </row>
    <row r="15" spans="2:15" s="125" customFormat="1" ht="16.5" customHeight="1">
      <c r="B15" s="302" t="s">
        <v>23</v>
      </c>
      <c r="C15" s="303"/>
      <c r="D15" s="235"/>
      <c r="E15" s="236">
        <f>'analise financ ciclo curto'!O63</f>
        <v>-7777</v>
      </c>
      <c r="F15" s="235"/>
      <c r="G15" s="236">
        <f>'analise financ ciclo longo 1111'!P32</f>
        <v>-7777</v>
      </c>
      <c r="H15" s="235"/>
      <c r="I15" s="237">
        <f>'analise financ ciclo longo 816'!P32</f>
        <v>-5712</v>
      </c>
    </row>
    <row r="16" spans="2:15" s="125" customFormat="1" ht="16.5" customHeight="1">
      <c r="B16" s="302" t="s">
        <v>122</v>
      </c>
      <c r="C16" s="303"/>
      <c r="D16" s="233"/>
      <c r="E16" s="238">
        <f>'analise financ ciclo curto'!O65</f>
        <v>10908.432775756573</v>
      </c>
      <c r="F16" s="233"/>
      <c r="G16" s="238">
        <f>'analise financ ciclo longo 1111'!P79</f>
        <v>19731.958741783055</v>
      </c>
      <c r="H16" s="233"/>
      <c r="I16" s="239">
        <f>'analise financ ciclo longo 816'!P79</f>
        <v>19741.272561628939</v>
      </c>
      <c r="O16" s="137"/>
    </row>
    <row r="17" spans="2:15" s="125" customFormat="1" ht="16.5" customHeight="1">
      <c r="B17" s="302" t="s">
        <v>123</v>
      </c>
      <c r="C17" s="303"/>
      <c r="D17" s="233"/>
      <c r="E17" s="238">
        <f>'analise financ ciclo curto'!O67</f>
        <v>3131.4327757565734</v>
      </c>
      <c r="F17" s="233"/>
      <c r="G17" s="238">
        <f>'analise financ ciclo longo 1111'!P81</f>
        <v>11954.958741783055</v>
      </c>
      <c r="H17" s="233"/>
      <c r="I17" s="239">
        <f>'analise financ ciclo longo 816'!P81</f>
        <v>14029.272561628939</v>
      </c>
      <c r="O17" s="137"/>
    </row>
    <row r="18" spans="2:15" ht="16.5" customHeight="1">
      <c r="B18" s="302" t="s">
        <v>112</v>
      </c>
      <c r="C18" s="303"/>
      <c r="D18" s="233"/>
      <c r="E18" s="240">
        <f>'analise financ ciclo curto'!O69</f>
        <v>0.14142367635042072</v>
      </c>
      <c r="F18" s="241"/>
      <c r="G18" s="240">
        <f>'analise financ ciclo longo 1111'!P83</f>
        <v>0.19086139819500775</v>
      </c>
      <c r="H18" s="241"/>
      <c r="I18" s="240">
        <f>'analise financ ciclo longo 816'!P83</f>
        <v>0.22191571512041891</v>
      </c>
    </row>
    <row r="19" spans="2:15" s="125" customFormat="1" ht="16.5" customHeight="1">
      <c r="B19" s="242"/>
      <c r="C19" s="242"/>
      <c r="D19" s="242"/>
      <c r="E19" s="242"/>
      <c r="F19" s="242"/>
      <c r="G19" s="242"/>
      <c r="H19" s="242"/>
      <c r="I19" s="242"/>
      <c r="O19" s="137"/>
    </row>
    <row r="20" spans="2:15" s="125" customFormat="1" ht="16.5" customHeight="1">
      <c r="B20" s="302" t="s">
        <v>116</v>
      </c>
      <c r="C20" s="303"/>
      <c r="D20" s="233"/>
      <c r="E20" s="243">
        <f>E16/-E15</f>
        <v>1.4026530507594925</v>
      </c>
      <c r="F20" s="233"/>
      <c r="G20" s="243">
        <f>G16/-G15</f>
        <v>2.5372198459281283</v>
      </c>
      <c r="H20" s="233"/>
      <c r="I20" s="243">
        <f>I16/-I15</f>
        <v>3.4561051403412009</v>
      </c>
    </row>
    <row r="21" spans="2:15" s="125" customFormat="1" ht="16.5" customHeight="1">
      <c r="B21" s="302" t="s">
        <v>90</v>
      </c>
      <c r="C21" s="303"/>
      <c r="D21" s="130"/>
      <c r="E21" s="234" t="s">
        <v>113</v>
      </c>
      <c r="F21" s="130"/>
      <c r="G21" s="234" t="s">
        <v>114</v>
      </c>
      <c r="H21" s="130"/>
      <c r="I21" s="234" t="s">
        <v>115</v>
      </c>
      <c r="O21" s="137"/>
    </row>
    <row r="22" spans="2:15" s="8" customFormat="1" ht="16.5" customHeight="1" thickBot="1">
      <c r="B22" s="242"/>
      <c r="C22" s="242"/>
      <c r="D22" s="242"/>
      <c r="E22" s="244"/>
      <c r="F22" s="245"/>
      <c r="G22" s="125"/>
      <c r="H22" s="246"/>
      <c r="I22" s="245"/>
      <c r="J22" s="134"/>
    </row>
    <row r="23" spans="2:15" ht="17.25" customHeight="1" thickBot="1">
      <c r="B23" s="313" t="s">
        <v>91</v>
      </c>
      <c r="C23" s="314"/>
      <c r="D23" s="178"/>
      <c r="E23" s="179">
        <v>1</v>
      </c>
      <c r="F23" s="180"/>
      <c r="G23" s="181">
        <v>2</v>
      </c>
      <c r="H23" s="180"/>
      <c r="I23" s="182">
        <v>3</v>
      </c>
      <c r="J23" s="124"/>
    </row>
    <row r="24" spans="2:15">
      <c r="J24" s="1"/>
    </row>
    <row r="25" spans="2:15">
      <c r="J25" s="1"/>
    </row>
    <row r="26" spans="2:15">
      <c r="J26" s="1"/>
    </row>
    <row r="27" spans="2:15">
      <c r="J27" s="1"/>
    </row>
    <row r="28" spans="2:15">
      <c r="J28" s="1"/>
    </row>
    <row r="29" spans="2:15">
      <c r="J29" s="1"/>
    </row>
    <row r="30" spans="2:15">
      <c r="J30" s="1"/>
    </row>
    <row r="31" spans="2:15">
      <c r="J31" s="1"/>
    </row>
    <row r="32" spans="2:15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  <row r="41" spans="10:10">
      <c r="J41" s="1"/>
    </row>
    <row r="42" spans="10:10">
      <c r="J42" s="1"/>
    </row>
    <row r="43" spans="10:10">
      <c r="J43" s="1"/>
    </row>
    <row r="44" spans="10:10">
      <c r="J44" s="1"/>
    </row>
    <row r="45" spans="10:10">
      <c r="J45" s="1"/>
    </row>
    <row r="46" spans="10:10">
      <c r="J46" s="1"/>
    </row>
    <row r="47" spans="10:10">
      <c r="J47" s="1"/>
    </row>
    <row r="48" spans="10:10">
      <c r="J48" s="1"/>
    </row>
    <row r="49" spans="10:10">
      <c r="J49" s="1"/>
    </row>
    <row r="50" spans="10:10">
      <c r="J50" s="1"/>
    </row>
    <row r="51" spans="10:10">
      <c r="J51" s="1"/>
    </row>
    <row r="52" spans="10:10">
      <c r="J52" s="1"/>
    </row>
    <row r="53" spans="10:10">
      <c r="J53" s="1"/>
    </row>
    <row r="54" spans="10:10">
      <c r="J54" s="1"/>
    </row>
    <row r="55" spans="10:10">
      <c r="J55" s="1"/>
    </row>
    <row r="56" spans="10:10">
      <c r="J56" s="1"/>
    </row>
    <row r="57" spans="10:10">
      <c r="J57" s="1"/>
    </row>
    <row r="58" spans="10:10">
      <c r="J58" s="1"/>
    </row>
    <row r="59" spans="10:10">
      <c r="J59" s="1"/>
    </row>
    <row r="60" spans="10:10">
      <c r="J60" s="1"/>
    </row>
    <row r="61" spans="10:10">
      <c r="J61" s="1"/>
    </row>
    <row r="62" spans="10:10">
      <c r="J62" s="1"/>
    </row>
    <row r="63" spans="10:10">
      <c r="J63" s="1"/>
    </row>
    <row r="64" spans="10:10">
      <c r="J64" s="1"/>
    </row>
    <row r="65" spans="1:16">
      <c r="J65" s="1"/>
    </row>
    <row r="66" spans="1:16">
      <c r="J66" s="1"/>
    </row>
    <row r="67" spans="1:16">
      <c r="J67" s="1"/>
    </row>
    <row r="68" spans="1:16">
      <c r="J68" s="1"/>
    </row>
    <row r="69" spans="1:16" ht="33.75" customHeight="1">
      <c r="A69" s="311" t="s">
        <v>98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</row>
    <row r="70" spans="1:16" ht="15" customHeight="1">
      <c r="B70" s="133"/>
      <c r="C70" s="133"/>
      <c r="D70" s="133"/>
      <c r="E70" s="133"/>
      <c r="F70" s="133"/>
      <c r="G70" s="133"/>
      <c r="H70" s="133"/>
      <c r="I70" s="133"/>
      <c r="J70" s="133"/>
    </row>
    <row r="71" spans="1:16" ht="33.75">
      <c r="B71" s="132"/>
      <c r="C71" s="132"/>
      <c r="D71" s="132"/>
      <c r="E71" s="132"/>
      <c r="F71" s="132"/>
      <c r="G71" s="132"/>
      <c r="H71" s="132"/>
      <c r="I71" s="132"/>
      <c r="J71" s="132"/>
    </row>
    <row r="72" spans="1:16" ht="15" customHeight="1">
      <c r="B72" s="309" t="s">
        <v>96</v>
      </c>
      <c r="C72" s="310" t="s">
        <v>97</v>
      </c>
      <c r="D72" s="310"/>
      <c r="E72" s="310"/>
      <c r="F72" s="135"/>
      <c r="I72" s="307" t="s">
        <v>96</v>
      </c>
      <c r="J72" s="312" t="s">
        <v>99</v>
      </c>
      <c r="K72" s="312"/>
      <c r="L72" s="312"/>
      <c r="M72" s="136"/>
      <c r="N72" s="136"/>
      <c r="O72" s="307"/>
    </row>
    <row r="73" spans="1:16" ht="15" customHeight="1">
      <c r="B73" s="309"/>
      <c r="C73" s="310"/>
      <c r="D73" s="310"/>
      <c r="E73" s="310"/>
      <c r="F73" s="135"/>
      <c r="I73" s="307"/>
      <c r="J73" s="312"/>
      <c r="K73" s="312"/>
      <c r="L73" s="312"/>
      <c r="M73" s="136"/>
      <c r="N73" s="136"/>
      <c r="O73" s="307"/>
    </row>
    <row r="74" spans="1:16" ht="15" customHeight="1">
      <c r="B74" s="309"/>
      <c r="C74" s="310"/>
      <c r="D74" s="310"/>
      <c r="E74" s="310"/>
      <c r="F74" s="135"/>
      <c r="I74" s="307"/>
      <c r="J74" s="312"/>
      <c r="K74" s="312"/>
      <c r="L74" s="312"/>
      <c r="M74" s="136"/>
      <c r="N74" s="136"/>
      <c r="O74" s="307"/>
    </row>
    <row r="75" spans="1:16" ht="15" customHeight="1">
      <c r="B75" s="309"/>
      <c r="C75" s="310"/>
      <c r="D75" s="310"/>
      <c r="E75" s="310"/>
      <c r="F75" s="135"/>
      <c r="I75" s="307"/>
      <c r="J75" s="312"/>
      <c r="K75" s="312"/>
      <c r="L75" s="312"/>
      <c r="M75" s="136"/>
      <c r="N75" s="136"/>
      <c r="O75" s="307"/>
    </row>
    <row r="76" spans="1:16" ht="15" customHeight="1">
      <c r="B76" s="309"/>
      <c r="C76" s="310"/>
      <c r="D76" s="310"/>
      <c r="E76" s="310"/>
      <c r="F76" s="135"/>
      <c r="I76" s="307"/>
      <c r="J76" s="312"/>
      <c r="K76" s="312"/>
      <c r="L76" s="312"/>
      <c r="M76" s="136"/>
      <c r="N76" s="136"/>
      <c r="O76" s="307"/>
    </row>
    <row r="77" spans="1:16" ht="15" customHeight="1">
      <c r="B77" s="309"/>
      <c r="C77" s="310"/>
      <c r="D77" s="310"/>
      <c r="E77" s="310"/>
      <c r="F77" s="135"/>
      <c r="I77" s="307"/>
      <c r="J77" s="312"/>
      <c r="K77" s="312"/>
      <c r="L77" s="312"/>
      <c r="M77" s="136"/>
      <c r="N77" s="136"/>
      <c r="O77" s="307"/>
    </row>
    <row r="78" spans="1:16">
      <c r="B78" s="125"/>
      <c r="C78" s="125"/>
      <c r="D78" s="125"/>
      <c r="E78" s="125"/>
    </row>
  </sheetData>
  <mergeCells count="29">
    <mergeCell ref="O72:O77"/>
    <mergeCell ref="L12:O12"/>
    <mergeCell ref="L13:O13"/>
    <mergeCell ref="L14:O14"/>
    <mergeCell ref="B72:B77"/>
    <mergeCell ref="C72:E77"/>
    <mergeCell ref="A69:P69"/>
    <mergeCell ref="I72:I77"/>
    <mergeCell ref="J72:L77"/>
    <mergeCell ref="B12:C12"/>
    <mergeCell ref="B16:C16"/>
    <mergeCell ref="B17:C17"/>
    <mergeCell ref="B18:C18"/>
    <mergeCell ref="B20:C20"/>
    <mergeCell ref="B21:C21"/>
    <mergeCell ref="B23:C23"/>
    <mergeCell ref="B7:C7"/>
    <mergeCell ref="B8:C8"/>
    <mergeCell ref="B5:L5"/>
    <mergeCell ref="L7:O7"/>
    <mergeCell ref="L8:O8"/>
    <mergeCell ref="L9:O9"/>
    <mergeCell ref="L10:O10"/>
    <mergeCell ref="L11:O11"/>
    <mergeCell ref="B9:C9"/>
    <mergeCell ref="B15:C15"/>
    <mergeCell ref="B10:C10"/>
    <mergeCell ref="B11:C11"/>
    <mergeCell ref="B14:C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A58" workbookViewId="0">
      <selection activeCell="F71" sqref="F71"/>
    </sheetView>
  </sheetViews>
  <sheetFormatPr defaultRowHeight="21.75" customHeight="1"/>
  <cols>
    <col min="1" max="1" width="3.5703125" style="1" customWidth="1"/>
    <col min="2" max="2" width="11.28515625" style="1" customWidth="1"/>
    <col min="3" max="3" width="18.5703125" style="1" customWidth="1"/>
    <col min="4" max="4" width="12.7109375" style="1" customWidth="1"/>
    <col min="5" max="5" width="11.28515625" style="1" customWidth="1"/>
    <col min="6" max="6" width="10.5703125" style="1" customWidth="1"/>
    <col min="7" max="7" width="4.140625" style="1" customWidth="1"/>
    <col min="8" max="8" width="18.28515625" style="1" customWidth="1"/>
    <col min="9" max="9" width="5.42578125" style="1" customWidth="1"/>
    <col min="10" max="10" width="7" style="1" customWidth="1"/>
    <col min="11" max="11" width="12.42578125" style="2" customWidth="1"/>
    <col min="12" max="12" width="4.85546875" style="2" customWidth="1"/>
    <col min="13" max="13" width="22.28515625" style="2" customWidth="1"/>
    <col min="14" max="14" width="9.7109375" style="2" customWidth="1"/>
    <col min="15" max="15" width="10.140625" style="2" customWidth="1"/>
    <col min="16" max="16" width="11.85546875" style="2" customWidth="1"/>
    <col min="17" max="17" width="5.140625" style="2" customWidth="1"/>
    <col min="18" max="18" width="17.5703125" style="2" customWidth="1"/>
    <col min="19" max="19" width="6.85546875" style="2" customWidth="1"/>
    <col min="20" max="20" width="9.140625" style="2"/>
    <col min="21" max="21" width="11.28515625" style="2" customWidth="1"/>
    <col min="22" max="22" width="9.140625" style="2"/>
    <col min="23" max="23" width="15.85546875" style="2" customWidth="1"/>
    <col min="24" max="16384" width="9.140625" style="2"/>
  </cols>
  <sheetData>
    <row r="1" spans="1:19" ht="21.75" customHeight="1">
      <c r="A1" s="26"/>
      <c r="B1" s="35"/>
      <c r="C1" s="4"/>
      <c r="D1" s="27"/>
      <c r="E1" s="27"/>
      <c r="F1" s="27"/>
      <c r="G1" s="279" t="s">
        <v>158</v>
      </c>
      <c r="H1" s="279"/>
      <c r="I1" s="279"/>
      <c r="J1" s="279"/>
      <c r="K1" s="279"/>
      <c r="L1" s="279"/>
      <c r="M1" s="279"/>
      <c r="N1" s="279"/>
      <c r="O1" s="279"/>
      <c r="P1" s="279"/>
    </row>
    <row r="2" spans="1:19" ht="21.75" customHeight="1">
      <c r="C2" s="2"/>
      <c r="R2" s="26"/>
      <c r="S2" s="26"/>
    </row>
    <row r="3" spans="1:19" ht="21.75" customHeight="1">
      <c r="B3" s="37"/>
      <c r="C3" s="4"/>
      <c r="D3" s="2"/>
      <c r="E3" s="2"/>
      <c r="F3" s="2"/>
      <c r="G3" s="2"/>
      <c r="I3" s="37"/>
      <c r="J3" s="4"/>
      <c r="L3" s="8"/>
      <c r="O3" s="4"/>
    </row>
    <row r="4" spans="1:19" ht="21.75" customHeight="1">
      <c r="B4" s="37"/>
      <c r="C4" s="4"/>
      <c r="D4" s="2"/>
      <c r="E4" s="2"/>
      <c r="F4" s="2"/>
      <c r="G4" s="2"/>
      <c r="I4" s="37"/>
      <c r="J4" s="4"/>
      <c r="L4" s="8"/>
      <c r="O4" s="4"/>
    </row>
    <row r="5" spans="1:19" s="139" customFormat="1" ht="21.75" customHeight="1">
      <c r="A5" s="294" t="s">
        <v>105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</row>
    <row r="6" spans="1:19" ht="21.75" customHeight="1">
      <c r="B6" s="37"/>
      <c r="C6" s="4"/>
      <c r="D6" s="2"/>
      <c r="E6" s="2"/>
      <c r="F6" s="2"/>
      <c r="G6" s="2"/>
      <c r="I6" s="37"/>
      <c r="J6" s="4"/>
      <c r="L6" s="8"/>
      <c r="O6" s="4"/>
    </row>
    <row r="7" spans="1:19" ht="21.75" customHeight="1">
      <c r="B7" s="37"/>
      <c r="C7" s="4"/>
      <c r="D7" s="4" t="s">
        <v>46</v>
      </c>
      <c r="E7" s="4" t="s">
        <v>45</v>
      </c>
      <c r="F7" s="2"/>
      <c r="G7" s="2"/>
      <c r="I7" s="37"/>
      <c r="J7" s="4"/>
      <c r="L7" s="8"/>
      <c r="O7" s="4"/>
    </row>
    <row r="8" spans="1:19" ht="21.75" customHeight="1">
      <c r="B8" s="37"/>
      <c r="C8" s="8" t="s">
        <v>43</v>
      </c>
      <c r="D8" s="8" t="s">
        <v>104</v>
      </c>
      <c r="E8" s="91">
        <v>816</v>
      </c>
      <c r="F8" s="2" t="s">
        <v>47</v>
      </c>
      <c r="G8" s="2"/>
      <c r="I8" s="37"/>
      <c r="J8" s="4"/>
      <c r="L8" s="8"/>
      <c r="O8" s="4"/>
    </row>
    <row r="9" spans="1:19" ht="21.75" customHeight="1">
      <c r="B9" s="37"/>
      <c r="C9" s="4"/>
      <c r="D9" s="8"/>
      <c r="E9" s="93">
        <f>E8*10%</f>
        <v>81.600000000000009</v>
      </c>
      <c r="F9" s="90" t="s">
        <v>48</v>
      </c>
      <c r="G9" s="90"/>
      <c r="H9" s="89"/>
      <c r="I9" s="37"/>
      <c r="J9" s="4"/>
      <c r="L9" s="8"/>
      <c r="O9" s="4"/>
    </row>
    <row r="10" spans="1:19" ht="21.75" customHeight="1">
      <c r="A10" s="110"/>
      <c r="B10" s="37"/>
      <c r="C10" s="4"/>
      <c r="D10" s="2"/>
      <c r="E10" s="92">
        <f>E8-E9</f>
        <v>734.4</v>
      </c>
      <c r="F10" s="2"/>
      <c r="G10" s="2"/>
      <c r="I10" s="37"/>
      <c r="J10" s="4"/>
      <c r="L10" s="8"/>
      <c r="O10" s="4"/>
    </row>
    <row r="11" spans="1:19" ht="21.75" customHeight="1">
      <c r="B11" s="37"/>
      <c r="C11" s="4"/>
      <c r="D11" s="2"/>
      <c r="E11" s="2"/>
      <c r="F11" s="2"/>
      <c r="G11" s="2"/>
      <c r="I11" s="37"/>
      <c r="J11" s="4"/>
      <c r="L11" s="8"/>
      <c r="O11" s="4"/>
    </row>
    <row r="12" spans="1:19" s="13" customFormat="1" ht="21.75" customHeight="1">
      <c r="C12" s="99" t="s">
        <v>55</v>
      </c>
      <c r="D12" s="99" t="s">
        <v>53</v>
      </c>
      <c r="E12" s="100" t="s">
        <v>54</v>
      </c>
      <c r="F12" s="112" t="s">
        <v>57</v>
      </c>
      <c r="G12" s="98"/>
      <c r="J12" s="5"/>
      <c r="K12" s="118" t="s">
        <v>60</v>
      </c>
      <c r="L12" s="119"/>
      <c r="M12" s="140" t="s">
        <v>63</v>
      </c>
      <c r="N12" s="289" t="s">
        <v>64</v>
      </c>
      <c r="O12" s="289"/>
      <c r="P12" s="289"/>
      <c r="Q12" s="289"/>
    </row>
    <row r="13" spans="1:19" s="96" customFormat="1" ht="21.75" customHeight="1">
      <c r="A13" s="110"/>
      <c r="B13" s="111" t="s">
        <v>49</v>
      </c>
      <c r="C13" s="101">
        <v>4</v>
      </c>
      <c r="D13" s="102">
        <v>0</v>
      </c>
      <c r="E13" s="103">
        <f>$E$10*D13</f>
        <v>0</v>
      </c>
      <c r="F13" s="104">
        <v>0</v>
      </c>
      <c r="G13" s="113" t="s">
        <v>58</v>
      </c>
      <c r="J13" s="97"/>
      <c r="K13" s="115">
        <f>'analise financ ciclo curto'!N9</f>
        <v>27</v>
      </c>
      <c r="L13" s="113" t="s">
        <v>61</v>
      </c>
      <c r="M13" s="141"/>
      <c r="N13" s="289" t="s">
        <v>65</v>
      </c>
      <c r="O13" s="289"/>
      <c r="P13" s="289"/>
      <c r="Q13" s="289"/>
    </row>
    <row r="14" spans="1:19" s="96" customFormat="1" ht="21.75" customHeight="1">
      <c r="B14" s="80"/>
      <c r="C14" s="80"/>
      <c r="D14" s="80"/>
      <c r="E14" s="80"/>
      <c r="F14" s="80"/>
      <c r="G14" s="80"/>
      <c r="J14" s="97"/>
      <c r="K14" s="116"/>
      <c r="L14" s="80"/>
      <c r="M14" s="141"/>
      <c r="N14" s="289" t="s">
        <v>66</v>
      </c>
      <c r="O14" s="289"/>
      <c r="P14" s="289"/>
      <c r="Q14" s="289"/>
    </row>
    <row r="15" spans="1:19" s="80" customFormat="1" ht="21.75" customHeight="1">
      <c r="B15" s="111" t="s">
        <v>50</v>
      </c>
      <c r="C15" s="105">
        <v>8</v>
      </c>
      <c r="D15" s="102">
        <v>0.5</v>
      </c>
      <c r="E15" s="103">
        <f>$E$10*D15</f>
        <v>367.2</v>
      </c>
      <c r="F15" s="104">
        <v>150</v>
      </c>
      <c r="G15" s="114" t="s">
        <v>58</v>
      </c>
      <c r="K15" s="115">
        <f>'analise financ ciclo curto'!N9</f>
        <v>27</v>
      </c>
      <c r="L15" s="113" t="s">
        <v>61</v>
      </c>
      <c r="M15" s="141"/>
      <c r="N15" s="289" t="s">
        <v>67</v>
      </c>
      <c r="O15" s="289"/>
      <c r="P15" s="289"/>
      <c r="Q15" s="289"/>
    </row>
    <row r="16" spans="1:19" s="80" customFormat="1" ht="21.75" customHeight="1">
      <c r="K16" s="116"/>
      <c r="M16" s="141"/>
      <c r="N16" s="289" t="s">
        <v>68</v>
      </c>
      <c r="O16" s="289"/>
      <c r="P16" s="289"/>
      <c r="Q16" s="289"/>
    </row>
    <row r="17" spans="1:23" s="80" customFormat="1" ht="21.75" customHeight="1">
      <c r="B17" s="107" t="s">
        <v>52</v>
      </c>
      <c r="C17" s="105" t="s">
        <v>56</v>
      </c>
      <c r="D17" s="108">
        <f>D15</f>
        <v>0.5</v>
      </c>
      <c r="E17" s="103">
        <f>$E$10*D17</f>
        <v>367.2</v>
      </c>
      <c r="F17" s="109">
        <v>300</v>
      </c>
      <c r="G17" s="106" t="s">
        <v>59</v>
      </c>
      <c r="K17" s="117">
        <f>'analise financ ciclo curto'!N10</f>
        <v>200</v>
      </c>
      <c r="L17" s="113" t="s">
        <v>62</v>
      </c>
      <c r="M17" s="141"/>
      <c r="N17" s="289" t="s">
        <v>69</v>
      </c>
      <c r="O17" s="289"/>
      <c r="P17" s="289"/>
      <c r="Q17" s="289"/>
    </row>
    <row r="18" spans="1:23" s="79" customFormat="1" ht="21.75" customHeight="1">
      <c r="C18" s="81"/>
      <c r="D18" s="82"/>
      <c r="E18" s="82"/>
      <c r="F18" s="82"/>
      <c r="N18" s="290" t="s">
        <v>74</v>
      </c>
      <c r="O18" s="290"/>
      <c r="P18" s="290"/>
      <c r="Q18" s="290"/>
    </row>
    <row r="19" spans="1:23" s="78" customFormat="1" ht="21.75" customHeight="1">
      <c r="A19" s="83"/>
      <c r="B19" s="83"/>
      <c r="C19" s="84"/>
      <c r="D19" s="85"/>
      <c r="E19" s="85"/>
      <c r="F19" s="85"/>
      <c r="G19" s="83"/>
      <c r="H19" s="83"/>
      <c r="I19" s="83"/>
      <c r="J19" s="83"/>
      <c r="N19" s="290" t="s">
        <v>75</v>
      </c>
      <c r="O19" s="290"/>
      <c r="P19" s="290"/>
      <c r="Q19" s="290"/>
    </row>
    <row r="20" spans="1:23" s="78" customFormat="1" ht="21.75" customHeight="1">
      <c r="A20" s="83"/>
      <c r="B20" s="83"/>
      <c r="C20" s="84"/>
      <c r="D20" s="85"/>
      <c r="E20" s="85"/>
      <c r="F20" s="85"/>
      <c r="G20" s="83"/>
      <c r="H20" s="83"/>
      <c r="I20" s="83"/>
      <c r="J20" s="83"/>
      <c r="N20" s="143"/>
      <c r="O20" s="143"/>
      <c r="P20" s="143"/>
      <c r="Q20" s="143"/>
    </row>
    <row r="21" spans="1:23" s="78" customFormat="1" ht="21.75" customHeight="1">
      <c r="A21" s="83"/>
      <c r="B21" s="83"/>
      <c r="C21" s="84"/>
      <c r="D21" s="85"/>
      <c r="E21" s="85"/>
      <c r="F21" s="85"/>
      <c r="G21" s="83"/>
      <c r="H21" s="83"/>
      <c r="I21" s="83"/>
      <c r="J21" s="83"/>
      <c r="N21" s="143"/>
      <c r="O21" s="143"/>
      <c r="P21" s="143"/>
      <c r="Q21" s="143"/>
    </row>
    <row r="22" spans="1:23" s="78" customFormat="1" ht="21.75" customHeight="1">
      <c r="A22" s="83"/>
      <c r="B22" s="83"/>
      <c r="C22" s="84"/>
      <c r="D22" s="85"/>
      <c r="E22" s="85"/>
      <c r="F22" s="85"/>
      <c r="G22" s="83"/>
      <c r="H22" s="83"/>
      <c r="I22" s="83"/>
      <c r="J22" s="83"/>
      <c r="N22" s="143"/>
      <c r="O22" s="143"/>
      <c r="P22" s="143"/>
      <c r="Q22" s="143"/>
    </row>
    <row r="23" spans="1:23" s="78" customFormat="1" ht="21.75" customHeight="1">
      <c r="A23" s="83"/>
      <c r="B23" s="83"/>
      <c r="C23" s="84"/>
      <c r="D23" s="85"/>
      <c r="E23" s="85"/>
      <c r="F23" s="85"/>
      <c r="G23" s="83"/>
      <c r="H23" s="83"/>
      <c r="I23" s="83"/>
      <c r="J23" s="83"/>
      <c r="N23" s="123"/>
      <c r="O23" s="123"/>
      <c r="P23" s="123"/>
      <c r="Q23" s="123"/>
    </row>
    <row r="24" spans="1:23" s="8" customFormat="1" ht="21.75" customHeight="1">
      <c r="A24" s="9"/>
      <c r="B24" s="9"/>
      <c r="G24" s="9"/>
      <c r="H24" s="9"/>
      <c r="I24" s="9"/>
      <c r="J24" s="9"/>
    </row>
    <row r="25" spans="1:23" s="8" customFormat="1" ht="21.75" customHeight="1">
      <c r="A25" s="9"/>
      <c r="B25" s="9"/>
      <c r="G25" s="9"/>
      <c r="H25" s="9"/>
      <c r="I25" s="9"/>
      <c r="J25" s="9"/>
    </row>
    <row r="26" spans="1:23" s="8" customFormat="1" ht="21.75" customHeight="1">
      <c r="A26" s="9"/>
      <c r="B26" s="9"/>
      <c r="G26" s="9"/>
      <c r="H26" s="9"/>
      <c r="I26" s="9"/>
      <c r="J26" s="9"/>
    </row>
    <row r="27" spans="1:23" s="8" customFormat="1" ht="21.75" customHeight="1">
      <c r="A27" s="9"/>
      <c r="B27" s="9"/>
      <c r="G27" s="9"/>
      <c r="H27" s="9"/>
      <c r="I27" s="9"/>
      <c r="J27" s="9"/>
    </row>
    <row r="28" spans="1:23" s="8" customFormat="1" ht="21.75" customHeight="1">
      <c r="A28" s="9"/>
      <c r="B28" s="9"/>
      <c r="G28" s="9"/>
      <c r="H28" s="9"/>
      <c r="I28" s="9"/>
      <c r="J28" s="9"/>
    </row>
    <row r="29" spans="1:23" s="8" customFormat="1" ht="21.75" customHeight="1">
      <c r="A29" s="292" t="s">
        <v>24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</row>
    <row r="30" spans="1:23" s="8" customFormat="1" ht="21.75" customHeight="1">
      <c r="A30" s="67"/>
      <c r="B30" s="9"/>
      <c r="G30" s="9"/>
      <c r="H30" s="9"/>
      <c r="I30" s="9"/>
      <c r="J30" s="9"/>
    </row>
    <row r="31" spans="1:23" ht="21.75" customHeight="1">
      <c r="A31" s="16"/>
      <c r="C31" s="262" t="s">
        <v>141</v>
      </c>
      <c r="D31" s="262"/>
      <c r="E31" s="262"/>
      <c r="F31" s="262"/>
      <c r="G31" s="16"/>
      <c r="H31" s="315" t="s">
        <v>140</v>
      </c>
      <c r="I31" s="315"/>
      <c r="J31" s="315"/>
      <c r="K31" s="315"/>
      <c r="N31" s="44" t="s">
        <v>127</v>
      </c>
      <c r="O31" s="44" t="s">
        <v>129</v>
      </c>
    </row>
    <row r="32" spans="1:23" ht="21.75" customHeight="1">
      <c r="A32" s="33"/>
      <c r="B32" s="33"/>
      <c r="C32" s="3" t="s">
        <v>17</v>
      </c>
      <c r="D32" s="3">
        <v>0</v>
      </c>
      <c r="E32" s="3">
        <v>2014</v>
      </c>
      <c r="F32" s="18">
        <f>-7*$E$8</f>
        <v>-5712</v>
      </c>
      <c r="G32" s="16"/>
      <c r="H32" s="3"/>
      <c r="I32" s="3">
        <v>0</v>
      </c>
      <c r="J32" s="3">
        <v>2014</v>
      </c>
      <c r="K32" s="18">
        <f>F32-N32</f>
        <v>-11712</v>
      </c>
      <c r="L32" s="124" t="s">
        <v>126</v>
      </c>
      <c r="N32" s="195">
        <v>6000</v>
      </c>
      <c r="O32" s="189">
        <v>1.04</v>
      </c>
    </row>
    <row r="33" spans="1:25" s="4" customFormat="1" ht="18.75" customHeight="1">
      <c r="A33" s="6"/>
      <c r="B33" s="6"/>
      <c r="D33" s="5">
        <f>D32+1</f>
        <v>1</v>
      </c>
      <c r="E33" s="5">
        <f t="shared" ref="E33:E45" si="0">E32+1</f>
        <v>2015</v>
      </c>
      <c r="F33" s="44">
        <v>0</v>
      </c>
      <c r="G33" s="6"/>
      <c r="I33" s="5">
        <f t="shared" ref="I33:I44" si="1">I32+1</f>
        <v>1</v>
      </c>
      <c r="J33" s="5">
        <f t="shared" ref="J33:J44" si="2">J32+1</f>
        <v>2015</v>
      </c>
      <c r="K33" s="44">
        <f>'[1]analise financ ciclo longo 816'!P33</f>
        <v>0</v>
      </c>
      <c r="L33" s="2"/>
      <c r="M33" s="2"/>
      <c r="N33" s="44">
        <f>N32*$O$32</f>
        <v>6240</v>
      </c>
    </row>
    <row r="34" spans="1:25" s="4" customFormat="1" ht="18.75" customHeight="1">
      <c r="A34" s="66"/>
      <c r="B34" s="6"/>
      <c r="D34" s="5">
        <f t="shared" ref="D34:D45" si="3">D33+1</f>
        <v>2</v>
      </c>
      <c r="E34" s="5">
        <f t="shared" si="0"/>
        <v>2016</v>
      </c>
      <c r="F34" s="44">
        <v>0</v>
      </c>
      <c r="G34" s="187"/>
      <c r="I34" s="5">
        <f t="shared" si="1"/>
        <v>2</v>
      </c>
      <c r="J34" s="5">
        <f t="shared" si="2"/>
        <v>2016</v>
      </c>
      <c r="K34" s="44">
        <f>'[1]analise financ ciclo longo 816'!P34</f>
        <v>0</v>
      </c>
      <c r="L34" s="2"/>
      <c r="M34" s="2"/>
      <c r="N34" s="44">
        <f t="shared" ref="N34:N44" si="4">N33*$O$32</f>
        <v>6489.6</v>
      </c>
    </row>
    <row r="35" spans="1:25" s="4" customFormat="1" ht="18.75" customHeight="1">
      <c r="A35" s="66"/>
      <c r="B35" s="6"/>
      <c r="D35" s="5">
        <f t="shared" si="3"/>
        <v>3</v>
      </c>
      <c r="E35" s="5">
        <f t="shared" si="0"/>
        <v>2017</v>
      </c>
      <c r="F35" s="44">
        <v>0</v>
      </c>
      <c r="G35" s="187"/>
      <c r="I35" s="5">
        <f t="shared" si="1"/>
        <v>3</v>
      </c>
      <c r="J35" s="5">
        <f t="shared" si="2"/>
        <v>2017</v>
      </c>
      <c r="K35" s="44">
        <f>'[1]analise financ ciclo longo 816'!P35</f>
        <v>0</v>
      </c>
      <c r="L35" s="2"/>
      <c r="M35" s="2"/>
      <c r="N35" s="44">
        <f t="shared" si="4"/>
        <v>6749.1840000000002</v>
      </c>
    </row>
    <row r="36" spans="1:25" s="4" customFormat="1" ht="18.75" customHeight="1">
      <c r="A36" s="66"/>
      <c r="B36" s="6"/>
      <c r="D36" s="5">
        <f t="shared" si="3"/>
        <v>4</v>
      </c>
      <c r="E36" s="5">
        <f t="shared" si="0"/>
        <v>2018</v>
      </c>
      <c r="F36" s="44">
        <v>0</v>
      </c>
      <c r="G36" s="187"/>
      <c r="I36" s="5">
        <f t="shared" si="1"/>
        <v>4</v>
      </c>
      <c r="J36" s="5">
        <f t="shared" si="2"/>
        <v>2018</v>
      </c>
      <c r="K36" s="44">
        <f>'[1]analise financ ciclo longo 816'!P36</f>
        <v>0</v>
      </c>
      <c r="L36" s="2"/>
      <c r="M36" s="2"/>
      <c r="N36" s="44">
        <f t="shared" si="4"/>
        <v>7019.1513600000008</v>
      </c>
    </row>
    <row r="37" spans="1:25" s="4" customFormat="1" ht="18.75" customHeight="1">
      <c r="A37" s="5"/>
      <c r="B37" s="5"/>
      <c r="D37" s="5">
        <f t="shared" si="3"/>
        <v>5</v>
      </c>
      <c r="E37" s="5">
        <f t="shared" si="0"/>
        <v>2019</v>
      </c>
      <c r="F37" s="44">
        <v>0</v>
      </c>
      <c r="G37" s="187"/>
      <c r="I37" s="5">
        <f t="shared" si="1"/>
        <v>5</v>
      </c>
      <c r="J37" s="5">
        <f t="shared" si="2"/>
        <v>2019</v>
      </c>
      <c r="K37" s="44">
        <f>'[1]analise financ ciclo longo 816'!P37</f>
        <v>0</v>
      </c>
      <c r="L37" s="2"/>
      <c r="M37" s="2"/>
      <c r="N37" s="44">
        <f t="shared" si="4"/>
        <v>7299.9174144000008</v>
      </c>
    </row>
    <row r="38" spans="1:25" s="4" customFormat="1" ht="18.75" customHeight="1">
      <c r="B38" s="5"/>
      <c r="D38" s="5">
        <f t="shared" si="3"/>
        <v>6</v>
      </c>
      <c r="E38" s="5">
        <f t="shared" si="0"/>
        <v>2020</v>
      </c>
      <c r="F38" s="44">
        <v>0</v>
      </c>
      <c r="G38" s="58"/>
      <c r="I38" s="5">
        <f t="shared" si="1"/>
        <v>6</v>
      </c>
      <c r="J38" s="5">
        <f t="shared" si="2"/>
        <v>2020</v>
      </c>
      <c r="K38" s="44">
        <f>'[1]analise financ ciclo longo 816'!P38</f>
        <v>0</v>
      </c>
      <c r="L38" s="2"/>
      <c r="M38" s="2"/>
      <c r="N38" s="44">
        <f t="shared" si="4"/>
        <v>7591.9141109760012</v>
      </c>
    </row>
    <row r="39" spans="1:25" s="4" customFormat="1" ht="18.75" customHeight="1">
      <c r="B39" s="5"/>
      <c r="D39" s="5">
        <f t="shared" si="3"/>
        <v>7</v>
      </c>
      <c r="E39" s="5">
        <f t="shared" si="0"/>
        <v>2021</v>
      </c>
      <c r="F39" s="44">
        <v>0</v>
      </c>
      <c r="G39" s="58"/>
      <c r="I39" s="5">
        <f t="shared" si="1"/>
        <v>7</v>
      </c>
      <c r="J39" s="5">
        <f t="shared" si="2"/>
        <v>2021</v>
      </c>
      <c r="K39" s="44">
        <f>'[1]analise financ ciclo longo 816'!P39</f>
        <v>0</v>
      </c>
      <c r="L39" s="2"/>
      <c r="M39" s="2"/>
      <c r="N39" s="44">
        <f t="shared" si="4"/>
        <v>7895.5906754150419</v>
      </c>
    </row>
    <row r="40" spans="1:25" s="4" customFormat="1" ht="21.75" customHeight="1">
      <c r="B40" s="5"/>
      <c r="C40" s="192" t="s">
        <v>50</v>
      </c>
      <c r="D40" s="5">
        <f t="shared" si="3"/>
        <v>8</v>
      </c>
      <c r="E40" s="5">
        <f t="shared" si="0"/>
        <v>2022</v>
      </c>
      <c r="F40" s="44">
        <f>F15*K15</f>
        <v>4050</v>
      </c>
      <c r="G40" s="6"/>
      <c r="H40" s="192" t="s">
        <v>50</v>
      </c>
      <c r="I40" s="5">
        <f t="shared" si="1"/>
        <v>8</v>
      </c>
      <c r="J40" s="5">
        <f t="shared" si="2"/>
        <v>2022</v>
      </c>
      <c r="K40" s="44">
        <f>'[1]analise financ ciclo longo 816'!P40</f>
        <v>4050</v>
      </c>
      <c r="L40" s="2"/>
      <c r="M40" s="2"/>
      <c r="N40" s="44">
        <f t="shared" si="4"/>
        <v>8211.4143024316436</v>
      </c>
    </row>
    <row r="41" spans="1:25" s="4" customFormat="1" ht="15.75" customHeight="1">
      <c r="B41" s="5"/>
      <c r="C41" s="192" t="s">
        <v>42</v>
      </c>
      <c r="D41" s="5">
        <f t="shared" si="3"/>
        <v>9</v>
      </c>
      <c r="E41" s="5">
        <f t="shared" si="0"/>
        <v>2023</v>
      </c>
      <c r="F41" s="185">
        <f>'analise financ ciclo longo 1111'!$P$41</f>
        <v>-1500</v>
      </c>
      <c r="G41" s="6"/>
      <c r="H41" s="192" t="s">
        <v>42</v>
      </c>
      <c r="I41" s="5">
        <f t="shared" si="1"/>
        <v>9</v>
      </c>
      <c r="J41" s="5">
        <f t="shared" si="2"/>
        <v>2023</v>
      </c>
      <c r="K41" s="185">
        <f>'[1]analise financ ciclo longo 816'!P41</f>
        <v>-1500</v>
      </c>
      <c r="L41" s="2"/>
      <c r="M41" s="2"/>
      <c r="N41" s="44">
        <f t="shared" si="4"/>
        <v>8539.8708745289096</v>
      </c>
    </row>
    <row r="42" spans="1:25" s="4" customFormat="1" ht="15.75" customHeight="1">
      <c r="B42" s="5"/>
      <c r="D42" s="5">
        <f t="shared" si="3"/>
        <v>10</v>
      </c>
      <c r="E42" s="5">
        <f t="shared" si="0"/>
        <v>2024</v>
      </c>
      <c r="F42" s="44">
        <v>0</v>
      </c>
      <c r="G42" s="6"/>
      <c r="I42" s="5">
        <f t="shared" si="1"/>
        <v>10</v>
      </c>
      <c r="J42" s="5">
        <f t="shared" si="2"/>
        <v>2024</v>
      </c>
      <c r="K42" s="44">
        <f>'[1]analise financ ciclo longo 816'!P42</f>
        <v>0</v>
      </c>
      <c r="L42" s="2"/>
      <c r="M42" s="2"/>
      <c r="N42" s="44">
        <f t="shared" si="4"/>
        <v>8881.4657095100665</v>
      </c>
    </row>
    <row r="43" spans="1:25" s="4" customFormat="1" ht="15.75" customHeight="1">
      <c r="A43" s="5"/>
      <c r="B43" s="5"/>
      <c r="C43" s="5"/>
      <c r="D43" s="5">
        <f t="shared" si="3"/>
        <v>11</v>
      </c>
      <c r="E43" s="5">
        <f t="shared" si="0"/>
        <v>2025</v>
      </c>
      <c r="F43" s="44">
        <v>0</v>
      </c>
      <c r="G43" s="6"/>
      <c r="H43" s="5"/>
      <c r="I43" s="5">
        <f t="shared" si="1"/>
        <v>11</v>
      </c>
      <c r="J43" s="5">
        <f t="shared" si="2"/>
        <v>2025</v>
      </c>
      <c r="K43" s="44">
        <f>'[1]analise financ ciclo longo 816'!P43</f>
        <v>0</v>
      </c>
      <c r="L43" s="2"/>
      <c r="M43" s="2"/>
      <c r="N43" s="44">
        <f t="shared" si="4"/>
        <v>9236.7243378904695</v>
      </c>
    </row>
    <row r="44" spans="1:25" s="52" customFormat="1" ht="21.75" customHeight="1">
      <c r="A44" s="13"/>
      <c r="B44" s="13"/>
      <c r="C44" s="193" t="s">
        <v>51</v>
      </c>
      <c r="D44" s="193">
        <f t="shared" si="3"/>
        <v>12</v>
      </c>
      <c r="E44" s="193">
        <f t="shared" si="0"/>
        <v>2026</v>
      </c>
      <c r="F44" s="194">
        <f>$F$17*$K$17</f>
        <v>60000</v>
      </c>
      <c r="G44" s="58"/>
      <c r="H44" s="193"/>
      <c r="I44" s="193">
        <f t="shared" si="1"/>
        <v>12</v>
      </c>
      <c r="J44" s="193">
        <f t="shared" si="2"/>
        <v>2026</v>
      </c>
      <c r="K44" s="194">
        <f>'[1]analise financ ciclo longo 816'!P44+N44</f>
        <v>69606.193311406096</v>
      </c>
      <c r="L44" s="124" t="s">
        <v>125</v>
      </c>
      <c r="N44" s="195">
        <f t="shared" si="4"/>
        <v>9606.1933114060885</v>
      </c>
    </row>
    <row r="45" spans="1:25" s="4" customFormat="1" ht="21.75" customHeight="1">
      <c r="A45" s="49"/>
      <c r="B45" s="5"/>
      <c r="C45" s="5" t="s">
        <v>19</v>
      </c>
      <c r="D45" s="5">
        <f t="shared" si="3"/>
        <v>13</v>
      </c>
      <c r="E45" s="5">
        <f t="shared" si="0"/>
        <v>2027</v>
      </c>
      <c r="F45" s="48"/>
      <c r="G45" s="58"/>
      <c r="H45" s="6"/>
      <c r="I45" s="6"/>
      <c r="J45" s="6"/>
      <c r="K45" s="188"/>
      <c r="L45" s="52"/>
      <c r="R45" s="2"/>
      <c r="S45" s="2"/>
      <c r="T45" s="2"/>
      <c r="U45" s="2"/>
      <c r="V45" s="2"/>
      <c r="W45" s="2"/>
      <c r="X45" s="2"/>
      <c r="Y45" s="2"/>
    </row>
    <row r="46" spans="1:25" s="4" customFormat="1" ht="21.75" customHeight="1">
      <c r="A46" s="5"/>
      <c r="B46" s="5"/>
      <c r="C46" s="5"/>
      <c r="D46" s="5"/>
      <c r="E46" s="5"/>
      <c r="F46" s="48"/>
      <c r="G46" s="6"/>
      <c r="H46" s="6"/>
      <c r="I46" s="6"/>
      <c r="J46" s="6"/>
      <c r="K46" s="188"/>
    </row>
    <row r="47" spans="1:25" ht="21.75" customHeight="1">
      <c r="F47" s="12"/>
    </row>
    <row r="48" spans="1:25" ht="21.75" customHeight="1">
      <c r="F48" s="12"/>
    </row>
    <row r="49" spans="1:21" ht="21.75" customHeight="1">
      <c r="F49" s="12"/>
    </row>
    <row r="50" spans="1:21" ht="21.75" customHeight="1">
      <c r="F50" s="12"/>
    </row>
    <row r="51" spans="1:21" ht="21.75" customHeight="1">
      <c r="F51" s="12"/>
    </row>
    <row r="52" spans="1:21" ht="21.75" customHeight="1">
      <c r="F52" s="12"/>
    </row>
    <row r="53" spans="1:21" ht="21.75" customHeight="1">
      <c r="F53" s="12"/>
    </row>
    <row r="54" spans="1:21" ht="21.75" customHeight="1">
      <c r="F54" s="12"/>
    </row>
    <row r="55" spans="1:21" ht="21.75" customHeight="1">
      <c r="F55" s="12"/>
    </row>
    <row r="56" spans="1:21" ht="21.75" customHeight="1">
      <c r="F56" s="12"/>
    </row>
    <row r="57" spans="1:21" ht="21.75" customHeight="1">
      <c r="A57" s="292" t="s">
        <v>106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</row>
    <row r="58" spans="1:21" ht="21.75" customHeight="1">
      <c r="F58" s="12"/>
    </row>
    <row r="59" spans="1:21" ht="21.75" customHeight="1">
      <c r="C59" s="262" t="s">
        <v>41</v>
      </c>
      <c r="D59" s="262"/>
      <c r="E59" s="262"/>
      <c r="F59" s="262"/>
      <c r="G59" s="16"/>
      <c r="H59" s="315" t="s">
        <v>128</v>
      </c>
      <c r="I59" s="315"/>
      <c r="J59" s="315"/>
      <c r="K59" s="315"/>
    </row>
    <row r="60" spans="1:21" s="146" customFormat="1" ht="21.75" customHeight="1">
      <c r="A60" s="16"/>
      <c r="B60" s="16"/>
      <c r="C60" s="16"/>
      <c r="D60" s="16"/>
      <c r="E60" s="16"/>
      <c r="F60" s="15"/>
      <c r="G60" s="16"/>
      <c r="H60" s="16"/>
      <c r="I60" s="16"/>
      <c r="J60" s="16"/>
      <c r="K60" s="15"/>
      <c r="L60" s="16"/>
      <c r="Q60" s="16"/>
    </row>
    <row r="61" spans="1:21" ht="15.75" customHeight="1">
      <c r="C61" s="151" t="s">
        <v>111</v>
      </c>
      <c r="D61" s="152"/>
      <c r="E61" s="162"/>
      <c r="F61" s="163">
        <v>0.1</v>
      </c>
      <c r="G61" s="16"/>
      <c r="H61" s="151" t="s">
        <v>111</v>
      </c>
      <c r="I61" s="152"/>
      <c r="J61" s="162"/>
      <c r="K61" s="163">
        <v>0.1</v>
      </c>
      <c r="L61" s="1"/>
      <c r="Q61" s="16"/>
    </row>
    <row r="62" spans="1:21" ht="15.75" customHeight="1">
      <c r="C62" s="153"/>
      <c r="D62" s="154"/>
      <c r="E62" s="153"/>
      <c r="F62" s="156"/>
      <c r="G62" s="146"/>
      <c r="H62" s="153"/>
      <c r="I62" s="154"/>
      <c r="J62" s="153"/>
      <c r="K62" s="156"/>
      <c r="Q62" s="16"/>
    </row>
    <row r="63" spans="1:21" ht="15.75" customHeight="1">
      <c r="C63" s="155" t="s">
        <v>117</v>
      </c>
      <c r="D63" s="156"/>
      <c r="E63" s="153"/>
      <c r="F63" s="156">
        <f>D44</f>
        <v>12</v>
      </c>
      <c r="G63" s="16"/>
      <c r="H63" s="159" t="s">
        <v>117</v>
      </c>
      <c r="I63" s="156"/>
      <c r="J63" s="153"/>
      <c r="K63" s="156">
        <f>I44</f>
        <v>12</v>
      </c>
      <c r="L63" s="16"/>
    </row>
    <row r="64" spans="1:21" ht="15.75" customHeight="1">
      <c r="C64" s="155"/>
      <c r="D64" s="156"/>
      <c r="E64" s="155"/>
      <c r="F64" s="156"/>
      <c r="G64" s="16"/>
      <c r="H64" s="155"/>
      <c r="I64" s="156"/>
      <c r="J64" s="155"/>
      <c r="K64" s="156"/>
      <c r="L64" s="1"/>
      <c r="Q64" s="1"/>
    </row>
    <row r="65" spans="3:18" ht="15.75" customHeight="1">
      <c r="C65" s="157" t="s">
        <v>23</v>
      </c>
      <c r="D65" s="158"/>
      <c r="E65" s="155"/>
      <c r="F65" s="164">
        <f>F32</f>
        <v>-5712</v>
      </c>
      <c r="G65" s="16"/>
      <c r="H65" s="157" t="s">
        <v>23</v>
      </c>
      <c r="I65" s="158"/>
      <c r="J65" s="155"/>
      <c r="K65" s="164">
        <f>K32</f>
        <v>-11712</v>
      </c>
      <c r="L65" s="1"/>
      <c r="Q65" s="1"/>
    </row>
    <row r="66" spans="3:18" ht="15.75" customHeight="1">
      <c r="C66" s="155"/>
      <c r="D66" s="156"/>
      <c r="E66" s="155"/>
      <c r="F66" s="156"/>
      <c r="G66" s="16"/>
      <c r="H66" s="155"/>
      <c r="I66" s="156"/>
      <c r="J66" s="155"/>
      <c r="K66" s="156"/>
      <c r="L66" s="1"/>
      <c r="P66" s="146"/>
      <c r="Q66" s="191"/>
    </row>
    <row r="67" spans="3:18" ht="15.75" customHeight="1">
      <c r="C67" s="159" t="s">
        <v>120</v>
      </c>
      <c r="D67" s="156"/>
      <c r="E67" s="155"/>
      <c r="F67" s="170">
        <f>(NPV(F61,F88:F99))</f>
        <v>20371.057524912081</v>
      </c>
      <c r="G67" s="190"/>
      <c r="H67" s="159" t="s">
        <v>120</v>
      </c>
      <c r="I67" s="156"/>
      <c r="J67" s="155"/>
      <c r="K67" s="170">
        <f>(NPV(K61,K88:K99))</f>
        <v>23431.886754809162</v>
      </c>
      <c r="L67" s="145"/>
      <c r="Q67" s="173"/>
    </row>
    <row r="68" spans="3:18" ht="15.75" customHeight="1">
      <c r="C68" s="155"/>
      <c r="D68" s="156"/>
      <c r="E68" s="155"/>
      <c r="F68" s="156"/>
      <c r="G68" s="16"/>
      <c r="H68" s="155"/>
      <c r="I68" s="156"/>
      <c r="J68" s="155"/>
      <c r="K68" s="156"/>
      <c r="L68" s="1"/>
      <c r="Q68" s="1"/>
    </row>
    <row r="69" spans="3:18" ht="15.75" customHeight="1">
      <c r="C69" s="159" t="s">
        <v>121</v>
      </c>
      <c r="D69" s="156"/>
      <c r="E69" s="166"/>
      <c r="F69" s="167">
        <f>F67+F65</f>
        <v>14659.057524912081</v>
      </c>
      <c r="G69" s="150"/>
      <c r="H69" s="159" t="s">
        <v>121</v>
      </c>
      <c r="I69" s="156"/>
      <c r="J69" s="166"/>
      <c r="K69" s="167">
        <f>K67+K65</f>
        <v>11719.886754809162</v>
      </c>
      <c r="L69" s="150"/>
      <c r="Q69" s="1"/>
    </row>
    <row r="70" spans="3:18" ht="15.75" customHeight="1">
      <c r="C70" s="155"/>
      <c r="D70" s="156"/>
      <c r="E70" s="155"/>
      <c r="F70" s="156"/>
      <c r="G70" s="16"/>
      <c r="H70" s="155"/>
      <c r="I70" s="156"/>
      <c r="J70" s="155"/>
      <c r="K70" s="156"/>
      <c r="L70" s="16"/>
      <c r="Q70" s="1"/>
    </row>
    <row r="71" spans="3:18" ht="15.75" customHeight="1">
      <c r="C71" s="159" t="s">
        <v>118</v>
      </c>
      <c r="D71" s="156"/>
      <c r="E71" s="155"/>
      <c r="F71" s="168">
        <f>IRR(F32:F44)</f>
        <v>0.22682988847617636</v>
      </c>
      <c r="G71" s="146"/>
      <c r="H71" s="159" t="s">
        <v>118</v>
      </c>
      <c r="I71" s="156"/>
      <c r="J71" s="155"/>
      <c r="K71" s="168">
        <f>IRR(K32:K44)</f>
        <v>0.16700835762785121</v>
      </c>
      <c r="L71" s="146"/>
      <c r="Q71" s="171"/>
    </row>
    <row r="72" spans="3:18" ht="15.75" customHeight="1">
      <c r="C72" s="155"/>
      <c r="D72" s="156"/>
      <c r="E72" s="155"/>
      <c r="F72" s="156"/>
      <c r="G72" s="16"/>
      <c r="H72" s="155"/>
      <c r="I72" s="156"/>
      <c r="J72" s="155"/>
      <c r="K72" s="156"/>
      <c r="L72" s="16"/>
      <c r="Q72" s="173"/>
    </row>
    <row r="73" spans="3:18" ht="15.75" customHeight="1">
      <c r="C73" s="155"/>
      <c r="D73" s="156"/>
      <c r="E73" s="155"/>
      <c r="F73" s="169"/>
      <c r="G73" s="16"/>
      <c r="H73" s="155"/>
      <c r="I73" s="156"/>
      <c r="J73" s="155"/>
      <c r="K73" s="169"/>
      <c r="L73" s="1"/>
      <c r="Q73" s="173"/>
    </row>
    <row r="74" spans="3:18" ht="15.75" customHeight="1">
      <c r="C74" s="160" t="s">
        <v>33</v>
      </c>
      <c r="D74" s="161"/>
      <c r="E74" s="277" t="s">
        <v>36</v>
      </c>
      <c r="F74" s="278"/>
      <c r="G74" s="147"/>
      <c r="H74" s="160" t="s">
        <v>33</v>
      </c>
      <c r="I74" s="161"/>
      <c r="J74" s="277" t="s">
        <v>36</v>
      </c>
      <c r="K74" s="278"/>
      <c r="L74" s="147"/>
      <c r="Q74" s="173"/>
    </row>
    <row r="75" spans="3:18" ht="21.75" customHeight="1">
      <c r="C75" s="16"/>
      <c r="D75" s="16"/>
      <c r="E75" s="16"/>
      <c r="F75" s="16"/>
      <c r="K75" s="1"/>
      <c r="L75" s="1"/>
      <c r="M75" s="1"/>
      <c r="N75" s="1"/>
      <c r="O75" s="1"/>
      <c r="P75" s="1"/>
      <c r="Q75" s="298"/>
      <c r="R75" s="298"/>
    </row>
    <row r="76" spans="3:18" ht="21.75" customHeight="1">
      <c r="K76" s="1"/>
      <c r="L76" s="1"/>
      <c r="M76" s="1"/>
      <c r="N76" s="1"/>
      <c r="O76" s="1"/>
      <c r="P76" s="1"/>
      <c r="Q76" s="1"/>
    </row>
    <row r="77" spans="3:18" ht="21.75" customHeight="1">
      <c r="K77" s="1"/>
      <c r="L77" s="1"/>
      <c r="M77" s="1"/>
      <c r="N77" s="1"/>
      <c r="O77" s="1"/>
      <c r="P77" s="1"/>
      <c r="Q77" s="1"/>
    </row>
    <row r="78" spans="3:18" ht="21.75" customHeight="1">
      <c r="K78" s="1"/>
      <c r="L78" s="1"/>
      <c r="M78" s="1"/>
      <c r="N78" s="1"/>
      <c r="O78" s="1"/>
      <c r="P78" s="1"/>
      <c r="Q78" s="1"/>
    </row>
    <row r="79" spans="3:18" ht="21.75" customHeight="1">
      <c r="K79" s="1"/>
      <c r="L79" s="1"/>
      <c r="M79" s="1"/>
      <c r="N79" s="1"/>
      <c r="O79" s="1"/>
      <c r="P79" s="1"/>
      <c r="Q79" s="1"/>
    </row>
    <row r="80" spans="3:18" ht="21.75" customHeight="1">
      <c r="K80" s="1"/>
      <c r="L80" s="1"/>
      <c r="M80" s="1"/>
      <c r="N80" s="1"/>
      <c r="O80" s="1"/>
      <c r="P80" s="1"/>
      <c r="Q80" s="1"/>
    </row>
    <row r="81" spans="1:22" ht="21.75" customHeight="1">
      <c r="K81" s="1"/>
      <c r="L81" s="1"/>
      <c r="M81" s="1"/>
      <c r="N81" s="1"/>
      <c r="O81" s="1"/>
      <c r="P81" s="1"/>
      <c r="Q81" s="1"/>
    </row>
    <row r="82" spans="1:22" ht="21.75" customHeight="1">
      <c r="K82" s="1"/>
      <c r="L82" s="1"/>
      <c r="M82" s="1"/>
      <c r="N82" s="1"/>
      <c r="O82" s="1"/>
      <c r="P82" s="1"/>
      <c r="Q82" s="1"/>
    </row>
    <row r="83" spans="1:22" ht="21.75" customHeight="1">
      <c r="K83" s="1"/>
      <c r="L83" s="1"/>
      <c r="M83" s="1"/>
      <c r="N83" s="1"/>
      <c r="O83" s="1"/>
      <c r="P83" s="1"/>
      <c r="Q83" s="1"/>
    </row>
    <row r="84" spans="1:22" ht="21.75" customHeight="1">
      <c r="K84" s="1"/>
      <c r="L84" s="1"/>
      <c r="M84" s="1"/>
      <c r="N84" s="1"/>
      <c r="O84" s="1"/>
      <c r="P84" s="1"/>
      <c r="Q84" s="1"/>
    </row>
    <row r="85" spans="1:22" ht="21.75" customHeight="1">
      <c r="A85" s="291" t="s">
        <v>25</v>
      </c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</row>
    <row r="86" spans="1:22" ht="21.75" customHeight="1">
      <c r="K86" s="1"/>
      <c r="L86" s="1"/>
      <c r="M86" s="1"/>
      <c r="N86" s="1"/>
      <c r="O86" s="1"/>
      <c r="P86" s="1"/>
      <c r="Q86" s="1"/>
    </row>
    <row r="87" spans="1:22" ht="21.75" customHeight="1">
      <c r="C87" s="16" t="str">
        <f t="shared" ref="C87:E99" si="5">C32</f>
        <v>PLANTIO</v>
      </c>
      <c r="D87" s="16">
        <f t="shared" si="5"/>
        <v>0</v>
      </c>
      <c r="E87" s="16">
        <f t="shared" si="5"/>
        <v>2014</v>
      </c>
      <c r="F87" s="55">
        <v>0</v>
      </c>
      <c r="H87" s="16">
        <f>'analise financ ciclo longo 816'!R32</f>
        <v>0</v>
      </c>
      <c r="I87" s="16">
        <f>'analise financ ciclo longo 816'!S32</f>
        <v>0</v>
      </c>
      <c r="J87" s="16">
        <f>'analise financ ciclo longo 816'!T32</f>
        <v>0</v>
      </c>
      <c r="K87" s="55">
        <f>'[1]analise financ ciclo longo 816'!P98</f>
        <v>0</v>
      </c>
    </row>
    <row r="88" spans="1:22" ht="21.75" customHeight="1">
      <c r="C88" s="16">
        <f t="shared" si="5"/>
        <v>0</v>
      </c>
      <c r="D88" s="16">
        <f t="shared" si="5"/>
        <v>1</v>
      </c>
      <c r="E88" s="16">
        <f t="shared" si="5"/>
        <v>2015</v>
      </c>
      <c r="F88" s="55">
        <f t="shared" ref="F88:F99" si="6">F33</f>
        <v>0</v>
      </c>
      <c r="H88" s="16">
        <f>'analise financ ciclo longo 816'!R33</f>
        <v>0</v>
      </c>
      <c r="I88" s="16">
        <f>'analise financ ciclo longo 816'!S33</f>
        <v>0</v>
      </c>
      <c r="J88" s="16">
        <f>'analise financ ciclo longo 816'!T33</f>
        <v>0</v>
      </c>
      <c r="K88" s="55">
        <f>'[1]analise financ ciclo longo 816'!P99</f>
        <v>0</v>
      </c>
    </row>
    <row r="89" spans="1:22" ht="21.75" customHeight="1">
      <c r="C89" s="16">
        <f t="shared" si="5"/>
        <v>0</v>
      </c>
      <c r="D89" s="16">
        <f t="shared" si="5"/>
        <v>2</v>
      </c>
      <c r="E89" s="16">
        <f t="shared" si="5"/>
        <v>2016</v>
      </c>
      <c r="F89" s="55">
        <f t="shared" si="6"/>
        <v>0</v>
      </c>
      <c r="H89" s="16">
        <f>'analise financ ciclo longo 816'!R34</f>
        <v>0</v>
      </c>
      <c r="I89" s="16">
        <f>'analise financ ciclo longo 816'!S34</f>
        <v>0</v>
      </c>
      <c r="J89" s="16">
        <f>'analise financ ciclo longo 816'!T34</f>
        <v>0</v>
      </c>
      <c r="K89" s="55">
        <f>'[1]analise financ ciclo longo 816'!P100</f>
        <v>0</v>
      </c>
    </row>
    <row r="90" spans="1:22" ht="21.75" customHeight="1">
      <c r="C90" s="16">
        <f t="shared" si="5"/>
        <v>0</v>
      </c>
      <c r="D90" s="16">
        <f t="shared" si="5"/>
        <v>3</v>
      </c>
      <c r="E90" s="16">
        <f t="shared" si="5"/>
        <v>2017</v>
      </c>
      <c r="F90" s="55">
        <f t="shared" si="6"/>
        <v>0</v>
      </c>
      <c r="H90" s="16">
        <f>'analise financ ciclo longo 816'!R35</f>
        <v>0</v>
      </c>
      <c r="I90" s="16">
        <f>'analise financ ciclo longo 816'!S35</f>
        <v>0</v>
      </c>
      <c r="J90" s="16">
        <f>'analise financ ciclo longo 816'!T35</f>
        <v>0</v>
      </c>
      <c r="K90" s="55">
        <f>'[1]analise financ ciclo longo 816'!P101</f>
        <v>0</v>
      </c>
    </row>
    <row r="91" spans="1:22" ht="21.75" customHeight="1">
      <c r="C91" s="16">
        <f t="shared" si="5"/>
        <v>0</v>
      </c>
      <c r="D91" s="16">
        <f t="shared" si="5"/>
        <v>4</v>
      </c>
      <c r="E91" s="16">
        <f t="shared" si="5"/>
        <v>2018</v>
      </c>
      <c r="F91" s="55">
        <f t="shared" si="6"/>
        <v>0</v>
      </c>
      <c r="H91" s="16">
        <f>'analise financ ciclo longo 816'!R36</f>
        <v>0</v>
      </c>
      <c r="I91" s="16">
        <f>'analise financ ciclo longo 816'!S36</f>
        <v>0</v>
      </c>
      <c r="J91" s="16">
        <f>'analise financ ciclo longo 816'!T36</f>
        <v>0</v>
      </c>
      <c r="K91" s="55">
        <f>'[1]analise financ ciclo longo 816'!P102</f>
        <v>0</v>
      </c>
    </row>
    <row r="92" spans="1:22" ht="21.75" customHeight="1">
      <c r="C92" s="16">
        <f t="shared" si="5"/>
        <v>0</v>
      </c>
      <c r="D92" s="16">
        <f t="shared" si="5"/>
        <v>5</v>
      </c>
      <c r="E92" s="16">
        <f t="shared" si="5"/>
        <v>2019</v>
      </c>
      <c r="F92" s="55">
        <f t="shared" si="6"/>
        <v>0</v>
      </c>
      <c r="H92" s="16">
        <f>'analise financ ciclo longo 816'!R37</f>
        <v>0</v>
      </c>
      <c r="I92" s="16">
        <f>'analise financ ciclo longo 816'!S37</f>
        <v>0</v>
      </c>
      <c r="J92" s="16">
        <f>'analise financ ciclo longo 816'!T37</f>
        <v>0</v>
      </c>
      <c r="K92" s="55">
        <f>'[1]analise financ ciclo longo 816'!P103</f>
        <v>0</v>
      </c>
    </row>
    <row r="93" spans="1:22" ht="21.75" customHeight="1">
      <c r="C93" s="16">
        <f t="shared" si="5"/>
        <v>0</v>
      </c>
      <c r="D93" s="16">
        <f t="shared" si="5"/>
        <v>6</v>
      </c>
      <c r="E93" s="16">
        <f t="shared" si="5"/>
        <v>2020</v>
      </c>
      <c r="F93" s="55">
        <f t="shared" si="6"/>
        <v>0</v>
      </c>
      <c r="H93" s="16">
        <f>'analise financ ciclo longo 816'!R38</f>
        <v>0</v>
      </c>
      <c r="I93" s="16">
        <f>'analise financ ciclo longo 816'!S38</f>
        <v>0</v>
      </c>
      <c r="J93" s="16">
        <f>'analise financ ciclo longo 816'!T38</f>
        <v>0</v>
      </c>
      <c r="K93" s="55">
        <f>'[1]analise financ ciclo longo 816'!P104</f>
        <v>0</v>
      </c>
    </row>
    <row r="94" spans="1:22" ht="21.75" customHeight="1">
      <c r="C94" s="16">
        <f t="shared" si="5"/>
        <v>0</v>
      </c>
      <c r="D94" s="16">
        <f t="shared" si="5"/>
        <v>7</v>
      </c>
      <c r="E94" s="16">
        <f t="shared" si="5"/>
        <v>2021</v>
      </c>
      <c r="F94" s="55">
        <f t="shared" si="6"/>
        <v>0</v>
      </c>
      <c r="H94" s="16">
        <f>'analise financ ciclo longo 816'!R39</f>
        <v>0</v>
      </c>
      <c r="I94" s="16">
        <f>'analise financ ciclo longo 816'!S39</f>
        <v>0</v>
      </c>
      <c r="J94" s="16">
        <f>'analise financ ciclo longo 816'!T39</f>
        <v>0</v>
      </c>
      <c r="K94" s="55">
        <f>'[1]analise financ ciclo longo 816'!P105</f>
        <v>0</v>
      </c>
    </row>
    <row r="95" spans="1:22" ht="21.75" customHeight="1">
      <c r="C95" s="16" t="str">
        <f t="shared" si="5"/>
        <v>2.º desbaste</v>
      </c>
      <c r="D95" s="16">
        <f t="shared" si="5"/>
        <v>8</v>
      </c>
      <c r="E95" s="16">
        <f t="shared" si="5"/>
        <v>2022</v>
      </c>
      <c r="F95" s="55">
        <f t="shared" si="6"/>
        <v>4050</v>
      </c>
      <c r="H95" s="16">
        <f>'analise financ ciclo longo 816'!R40</f>
        <v>0</v>
      </c>
      <c r="I95" s="16">
        <f>'analise financ ciclo longo 816'!S40</f>
        <v>0</v>
      </c>
      <c r="J95" s="16">
        <f>'analise financ ciclo longo 816'!T40</f>
        <v>0</v>
      </c>
      <c r="K95" s="55">
        <f>'[1]analise financ ciclo longo 816'!P106</f>
        <v>4050</v>
      </c>
    </row>
    <row r="96" spans="1:22" ht="21.75" customHeight="1">
      <c r="C96" s="16" t="str">
        <f t="shared" si="5"/>
        <v>tratos culturais</v>
      </c>
      <c r="D96" s="16">
        <f t="shared" si="5"/>
        <v>9</v>
      </c>
      <c r="E96" s="16">
        <f t="shared" si="5"/>
        <v>2023</v>
      </c>
      <c r="F96" s="43">
        <f t="shared" si="6"/>
        <v>-1500</v>
      </c>
      <c r="H96" s="16">
        <f>'analise financ ciclo longo 816'!R41</f>
        <v>0</v>
      </c>
      <c r="I96" s="16">
        <f>'analise financ ciclo longo 816'!S41</f>
        <v>0</v>
      </c>
      <c r="J96" s="16">
        <f>'analise financ ciclo longo 816'!T41</f>
        <v>0</v>
      </c>
      <c r="K96" s="55">
        <f>'[1]analise financ ciclo longo 816'!P107</f>
        <v>-1500</v>
      </c>
    </row>
    <row r="97" spans="3:11" ht="21.75" customHeight="1">
      <c r="C97" s="16">
        <f t="shared" si="5"/>
        <v>0</v>
      </c>
      <c r="D97" s="16">
        <f t="shared" si="5"/>
        <v>10</v>
      </c>
      <c r="E97" s="16">
        <f t="shared" si="5"/>
        <v>2024</v>
      </c>
      <c r="F97" s="55">
        <f t="shared" si="6"/>
        <v>0</v>
      </c>
      <c r="H97" s="16">
        <f>'analise financ ciclo longo 816'!R42</f>
        <v>0</v>
      </c>
      <c r="I97" s="16">
        <f>'analise financ ciclo longo 816'!S42</f>
        <v>0</v>
      </c>
      <c r="J97" s="16">
        <f>'analise financ ciclo longo 816'!T42</f>
        <v>0</v>
      </c>
      <c r="K97" s="55">
        <f>'[1]analise financ ciclo longo 816'!P108</f>
        <v>0</v>
      </c>
    </row>
    <row r="98" spans="3:11" ht="21.75" customHeight="1">
      <c r="C98" s="16">
        <f t="shared" si="5"/>
        <v>0</v>
      </c>
      <c r="D98" s="16">
        <f t="shared" si="5"/>
        <v>11</v>
      </c>
      <c r="E98" s="16">
        <f t="shared" si="5"/>
        <v>2025</v>
      </c>
      <c r="F98" s="55">
        <f t="shared" si="6"/>
        <v>0</v>
      </c>
      <c r="H98" s="16">
        <f>'analise financ ciclo longo 816'!R43</f>
        <v>0</v>
      </c>
      <c r="I98" s="16">
        <f>'analise financ ciclo longo 816'!S43</f>
        <v>0</v>
      </c>
      <c r="J98" s="16">
        <f>'analise financ ciclo longo 816'!T43</f>
        <v>0</v>
      </c>
      <c r="K98" s="55">
        <f>'[1]analise financ ciclo longo 816'!P109</f>
        <v>0</v>
      </c>
    </row>
    <row r="99" spans="3:11" ht="21.75" customHeight="1">
      <c r="C99" s="121" t="str">
        <f t="shared" si="5"/>
        <v>corte das toras</v>
      </c>
      <c r="D99" s="121">
        <f t="shared" si="5"/>
        <v>12</v>
      </c>
      <c r="E99" s="16">
        <f t="shared" si="5"/>
        <v>2026</v>
      </c>
      <c r="F99" s="55">
        <f t="shared" si="6"/>
        <v>60000</v>
      </c>
      <c r="H99" s="121">
        <f>'analise financ ciclo longo 816'!R44</f>
        <v>0</v>
      </c>
      <c r="I99" s="121">
        <f>'analise financ ciclo longo 816'!S44</f>
        <v>0</v>
      </c>
      <c r="J99" s="121">
        <f>'analise financ ciclo longo 816'!T44</f>
        <v>0</v>
      </c>
      <c r="K99" s="186">
        <f>('[1]analise financ ciclo longo 816'!P110)+N44</f>
        <v>69606.193311406096</v>
      </c>
    </row>
    <row r="100" spans="3:11" ht="21.75" customHeight="1">
      <c r="C100" s="16"/>
      <c r="D100" s="16"/>
      <c r="E100" s="16"/>
      <c r="F100" s="43"/>
      <c r="H100" s="2"/>
      <c r="I100" s="2"/>
      <c r="J100" s="2"/>
    </row>
    <row r="101" spans="3:11" ht="21.75" customHeight="1">
      <c r="C101" s="16"/>
      <c r="D101" s="16"/>
      <c r="E101" s="16"/>
      <c r="F101" s="55"/>
      <c r="H101" s="2"/>
      <c r="I101" s="2"/>
      <c r="J101" s="2"/>
    </row>
    <row r="102" spans="3:11" ht="21.75" customHeight="1">
      <c r="C102" s="16"/>
      <c r="D102" s="16"/>
      <c r="E102" s="16"/>
      <c r="F102" s="55"/>
      <c r="H102" s="2"/>
      <c r="I102" s="2"/>
      <c r="J102" s="2"/>
    </row>
    <row r="103" spans="3:11" ht="21.75" customHeight="1">
      <c r="C103" s="16"/>
      <c r="D103" s="16"/>
      <c r="E103" s="16"/>
      <c r="F103" s="55"/>
      <c r="H103" s="2"/>
      <c r="I103" s="2"/>
      <c r="J103" s="2"/>
    </row>
    <row r="104" spans="3:11" ht="21.75" customHeight="1">
      <c r="C104" s="16"/>
      <c r="D104" s="16"/>
      <c r="E104" s="16"/>
      <c r="F104" s="55"/>
      <c r="H104" s="2"/>
      <c r="I104" s="2"/>
      <c r="J104" s="2"/>
    </row>
    <row r="105" spans="3:11" ht="21.75" customHeight="1">
      <c r="C105" s="16"/>
      <c r="D105" s="16"/>
      <c r="E105" s="16"/>
      <c r="F105" s="55"/>
      <c r="H105" s="2"/>
      <c r="I105" s="2"/>
      <c r="J105" s="2"/>
    </row>
    <row r="106" spans="3:11" ht="21.75" customHeight="1">
      <c r="F106" s="12"/>
      <c r="H106" s="2"/>
      <c r="I106" s="2"/>
      <c r="J106" s="2"/>
    </row>
    <row r="107" spans="3:11" ht="21.75" customHeight="1">
      <c r="F107" s="12"/>
      <c r="H107" s="2"/>
      <c r="I107" s="2"/>
      <c r="J107" s="2"/>
    </row>
  </sheetData>
  <mergeCells count="20">
    <mergeCell ref="Q75:R75"/>
    <mergeCell ref="A85:V85"/>
    <mergeCell ref="A57:U57"/>
    <mergeCell ref="C59:F59"/>
    <mergeCell ref="H59:K59"/>
    <mergeCell ref="E74:F74"/>
    <mergeCell ref="J74:K74"/>
    <mergeCell ref="C31:F31"/>
    <mergeCell ref="H31:K31"/>
    <mergeCell ref="G1:P1"/>
    <mergeCell ref="A5:S5"/>
    <mergeCell ref="N12:Q12"/>
    <mergeCell ref="N13:Q13"/>
    <mergeCell ref="N14:Q14"/>
    <mergeCell ref="N15:Q15"/>
    <mergeCell ref="N16:Q16"/>
    <mergeCell ref="N17:Q17"/>
    <mergeCell ref="N18:Q18"/>
    <mergeCell ref="N19:Q19"/>
    <mergeCell ref="A29:W2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6"/>
  <sheetViews>
    <sheetView topLeftCell="A58" workbookViewId="0">
      <selection activeCell="N75" sqref="N75"/>
    </sheetView>
  </sheetViews>
  <sheetFormatPr defaultRowHeight="15"/>
  <cols>
    <col min="1" max="1" width="13.85546875" style="2" customWidth="1"/>
    <col min="2" max="2" width="9.85546875" style="2" customWidth="1"/>
    <col min="3" max="3" width="13.7109375" style="2" customWidth="1"/>
    <col min="4" max="4" width="14.85546875" style="2" customWidth="1"/>
    <col min="5" max="5" width="11.28515625" style="2" customWidth="1"/>
    <col min="6" max="6" width="13.5703125" style="2" customWidth="1"/>
    <col min="7" max="7" width="13.42578125" style="2" customWidth="1"/>
    <col min="8" max="8" width="14.85546875" style="2" customWidth="1"/>
    <col min="9" max="9" width="13.28515625" style="2" bestFit="1" customWidth="1"/>
    <col min="10" max="10" width="9.140625" style="2"/>
    <col min="11" max="11" width="13.28515625" style="2" customWidth="1"/>
    <col min="12" max="12" width="11" style="2" customWidth="1"/>
    <col min="13" max="13" width="14" style="2" customWidth="1"/>
    <col min="14" max="14" width="12.85546875" style="2" customWidth="1"/>
    <col min="15" max="15" width="2.28515625" style="2" customWidth="1"/>
    <col min="16" max="16" width="9.140625" style="2"/>
    <col min="17" max="17" width="9.140625" style="2" customWidth="1"/>
    <col min="18" max="18" width="9.140625" style="2"/>
    <col min="19" max="20" width="9.140625" style="2" customWidth="1"/>
    <col min="21" max="16384" width="9.140625" style="2"/>
  </cols>
  <sheetData>
    <row r="1" spans="1:16" ht="21">
      <c r="A1" s="26"/>
      <c r="B1" s="35"/>
      <c r="C1" s="4"/>
      <c r="E1" s="8"/>
      <c r="F1" s="27"/>
      <c r="G1" s="196" t="s">
        <v>130</v>
      </c>
      <c r="H1" s="14"/>
      <c r="I1" s="14"/>
      <c r="J1" s="14"/>
      <c r="K1" s="197"/>
      <c r="L1" s="198"/>
      <c r="M1" s="199"/>
      <c r="N1" s="14"/>
      <c r="O1" s="10"/>
      <c r="P1" s="14"/>
    </row>
    <row r="3" spans="1:16" ht="15.75">
      <c r="A3" s="1"/>
      <c r="B3" s="37"/>
      <c r="C3" s="4"/>
      <c r="E3" s="8"/>
      <c r="H3" s="4"/>
    </row>
    <row r="4" spans="1:16" ht="15.75">
      <c r="A4" s="1"/>
      <c r="B4" s="37"/>
      <c r="C4" s="4"/>
      <c r="E4" s="8"/>
      <c r="H4" s="4"/>
    </row>
    <row r="5" spans="1:16" ht="15.75">
      <c r="A5" s="1"/>
      <c r="B5" s="37"/>
      <c r="C5" s="4"/>
      <c r="E5" s="8"/>
      <c r="H5" s="4"/>
    </row>
    <row r="6" spans="1:16" s="139" customFormat="1" ht="23.25">
      <c r="A6" s="273" t="s">
        <v>145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</row>
    <row r="8" spans="1:16">
      <c r="A8" s="207" t="s">
        <v>139</v>
      </c>
      <c r="B8" s="14"/>
      <c r="C8" s="14"/>
      <c r="D8" s="14"/>
    </row>
    <row r="9" spans="1:16">
      <c r="A9" s="1"/>
    </row>
    <row r="10" spans="1:16">
      <c r="A10" s="200">
        <v>1500000</v>
      </c>
      <c r="B10" s="2" t="s">
        <v>131</v>
      </c>
      <c r="G10" s="200">
        <v>700000</v>
      </c>
      <c r="H10" s="2" t="s">
        <v>132</v>
      </c>
    </row>
    <row r="12" spans="1:16" ht="13.5" customHeight="1">
      <c r="A12" s="201"/>
      <c r="B12" s="78"/>
      <c r="C12" s="202"/>
      <c r="D12" s="202"/>
      <c r="E12" s="202"/>
      <c r="F12" s="202"/>
    </row>
    <row r="13" spans="1:16" ht="15.75" customHeight="1">
      <c r="A13" s="317" t="s">
        <v>151</v>
      </c>
      <c r="B13" s="318"/>
      <c r="C13" s="319"/>
      <c r="E13" s="320" t="s">
        <v>152</v>
      </c>
      <c r="F13" s="321"/>
      <c r="G13" s="322"/>
      <c r="I13" s="323" t="s">
        <v>153</v>
      </c>
      <c r="J13" s="324"/>
      <c r="K13" s="325"/>
      <c r="L13" s="253"/>
      <c r="M13" s="255"/>
    </row>
    <row r="14" spans="1:16" ht="15.75" customHeight="1">
      <c r="A14" s="13" t="s">
        <v>146</v>
      </c>
      <c r="B14" s="253">
        <v>1</v>
      </c>
      <c r="C14" s="254">
        <v>1467633.3333333333</v>
      </c>
      <c r="D14" s="259">
        <f>C14/12</f>
        <v>122302.77777777777</v>
      </c>
      <c r="E14" s="13" t="s">
        <v>146</v>
      </c>
      <c r="F14" s="253">
        <v>1</v>
      </c>
      <c r="G14" s="254">
        <v>1800966.6666666667</v>
      </c>
      <c r="H14" s="259">
        <f>G14/12</f>
        <v>150080.55555555556</v>
      </c>
      <c r="I14" s="13" t="s">
        <v>146</v>
      </c>
      <c r="J14" s="253">
        <v>1</v>
      </c>
      <c r="K14" s="254">
        <v>2134300</v>
      </c>
      <c r="L14" s="259">
        <f>K14/12</f>
        <v>177858.33333333334</v>
      </c>
      <c r="M14" s="257"/>
    </row>
    <row r="15" spans="1:16" ht="15.75" customHeight="1">
      <c r="A15" s="13" t="s">
        <v>147</v>
      </c>
      <c r="B15" s="253">
        <v>0.5</v>
      </c>
      <c r="C15" s="255">
        <f>B15*C14</f>
        <v>733816.66666666663</v>
      </c>
      <c r="D15" s="259">
        <f>D14/30</f>
        <v>4076.7592592592587</v>
      </c>
      <c r="E15" s="13" t="s">
        <v>147</v>
      </c>
      <c r="F15" s="253">
        <v>0.5</v>
      </c>
      <c r="G15" s="255">
        <f>F15*G14</f>
        <v>900483.33333333337</v>
      </c>
      <c r="H15" s="259">
        <f>H14/30</f>
        <v>5002.6851851851852</v>
      </c>
      <c r="I15" s="13" t="s">
        <v>147</v>
      </c>
      <c r="J15" s="253">
        <v>0.5</v>
      </c>
      <c r="K15" s="255">
        <f>J15*K14</f>
        <v>1067150</v>
      </c>
      <c r="L15" s="259">
        <f>L14/30</f>
        <v>5928.6111111111113</v>
      </c>
      <c r="M15" s="255"/>
    </row>
    <row r="16" spans="1:16" ht="15.75" customHeight="1">
      <c r="A16" s="251" t="s">
        <v>148</v>
      </c>
      <c r="B16" s="253">
        <f>C16/C14</f>
        <v>0.5</v>
      </c>
      <c r="C16" s="252">
        <f>C14-C15</f>
        <v>733816.66666666663</v>
      </c>
      <c r="E16" s="251" t="s">
        <v>148</v>
      </c>
      <c r="F16" s="253">
        <f>G16/G14</f>
        <v>0.5</v>
      </c>
      <c r="G16" s="252">
        <f>G14-G15</f>
        <v>900483.33333333337</v>
      </c>
      <c r="I16" s="251" t="s">
        <v>148</v>
      </c>
      <c r="J16" s="253">
        <f>K16/K14</f>
        <v>0.5</v>
      </c>
      <c r="K16" s="252">
        <f>K14-K15</f>
        <v>1067150</v>
      </c>
      <c r="L16" s="253"/>
      <c r="M16" s="255"/>
    </row>
    <row r="17" spans="1:16" ht="15.75" customHeight="1">
      <c r="A17" s="192" t="s">
        <v>149</v>
      </c>
      <c r="B17" s="253">
        <v>0.35</v>
      </c>
      <c r="C17" s="255">
        <f>B17*C14</f>
        <v>513671.66666666663</v>
      </c>
      <c r="E17" s="192" t="s">
        <v>149</v>
      </c>
      <c r="F17" s="253">
        <v>0.35</v>
      </c>
      <c r="G17" s="255">
        <f>F17*G14</f>
        <v>630338.33333333337</v>
      </c>
      <c r="I17" s="192" t="s">
        <v>149</v>
      </c>
      <c r="J17" s="253">
        <v>0.35</v>
      </c>
      <c r="K17" s="255">
        <f>J17*K14</f>
        <v>747005</v>
      </c>
      <c r="L17" s="253"/>
      <c r="M17" s="255"/>
    </row>
    <row r="18" spans="1:16" ht="15.75" customHeight="1">
      <c r="A18" s="250" t="s">
        <v>150</v>
      </c>
      <c r="B18" s="256">
        <f>C18/C14</f>
        <v>0.15</v>
      </c>
      <c r="C18" s="252">
        <f>C16-C17</f>
        <v>220145</v>
      </c>
      <c r="E18" s="250" t="s">
        <v>150</v>
      </c>
      <c r="F18" s="256">
        <f>G18/G14</f>
        <v>0.15</v>
      </c>
      <c r="G18" s="252">
        <f>G16-G17</f>
        <v>270145</v>
      </c>
      <c r="I18" s="250" t="s">
        <v>150</v>
      </c>
      <c r="J18" s="256">
        <f>K18/K14</f>
        <v>0.15</v>
      </c>
      <c r="K18" s="252">
        <f>K16-K17</f>
        <v>320145</v>
      </c>
      <c r="L18" s="253"/>
      <c r="M18" s="255"/>
    </row>
    <row r="19" spans="1:16" ht="13.5" customHeight="1">
      <c r="A19" s="201"/>
      <c r="B19" s="78"/>
      <c r="C19" s="202"/>
      <c r="D19" s="202"/>
      <c r="E19" s="202"/>
      <c r="F19" s="202"/>
      <c r="G19" s="192"/>
      <c r="H19" s="253"/>
      <c r="I19" s="255"/>
      <c r="K19" s="192"/>
      <c r="L19" s="253"/>
      <c r="M19" s="255"/>
    </row>
    <row r="20" spans="1:16" ht="13.5" customHeight="1">
      <c r="A20" s="201"/>
      <c r="B20" s="78"/>
      <c r="C20" s="202"/>
      <c r="D20" s="202"/>
      <c r="E20" s="202"/>
      <c r="F20" s="202"/>
      <c r="G20" s="192"/>
      <c r="H20" s="253"/>
      <c r="I20" s="255"/>
      <c r="K20" s="192"/>
      <c r="L20" s="253"/>
      <c r="M20" s="255"/>
    </row>
    <row r="21" spans="1:16" ht="15.75">
      <c r="A21" s="83"/>
      <c r="B21" s="83"/>
      <c r="C21" s="83"/>
      <c r="D21" s="78"/>
      <c r="E21" s="78"/>
      <c r="F21" s="78"/>
    </row>
    <row r="22" spans="1:16" ht="21">
      <c r="A22" s="83"/>
      <c r="B22" s="83"/>
      <c r="C22" s="83"/>
      <c r="D22" s="78"/>
      <c r="E22" s="78"/>
      <c r="F22" s="78"/>
      <c r="G22" s="123"/>
      <c r="H22" s="123"/>
      <c r="I22" s="250"/>
      <c r="J22" s="249"/>
    </row>
    <row r="23" spans="1:16" ht="21">
      <c r="A23" s="83"/>
      <c r="B23" s="83"/>
      <c r="C23" s="83"/>
      <c r="D23" s="78"/>
      <c r="E23" s="78"/>
      <c r="F23" s="78"/>
      <c r="G23" s="123"/>
      <c r="H23" s="123"/>
      <c r="I23" s="250"/>
      <c r="J23" s="249"/>
    </row>
    <row r="24" spans="1:16" ht="15.75">
      <c r="A24" s="9"/>
      <c r="B24" s="9"/>
      <c r="C24" s="9"/>
      <c r="D24" s="8"/>
      <c r="E24" s="8"/>
      <c r="F24" s="8"/>
      <c r="G24" s="8"/>
      <c r="H24" s="221"/>
      <c r="I24" s="8"/>
    </row>
    <row r="25" spans="1:16" ht="15.75">
      <c r="A25" s="9"/>
      <c r="B25" s="9"/>
      <c r="C25" s="9"/>
      <c r="D25" s="8"/>
      <c r="E25" s="8"/>
      <c r="F25" s="8"/>
      <c r="G25" s="8"/>
      <c r="H25" s="221"/>
      <c r="I25" s="8"/>
    </row>
    <row r="26" spans="1:16" ht="15.75">
      <c r="A26" s="9"/>
      <c r="B26" s="9"/>
      <c r="C26" s="9"/>
      <c r="D26" s="8"/>
      <c r="E26" s="8"/>
      <c r="F26" s="8"/>
      <c r="G26" s="8"/>
      <c r="H26" s="8"/>
      <c r="I26" s="8"/>
    </row>
    <row r="27" spans="1:16" ht="15.75">
      <c r="A27" s="9"/>
      <c r="B27" s="9"/>
      <c r="C27" s="9"/>
      <c r="D27" s="8"/>
      <c r="E27" s="8"/>
      <c r="F27" s="8"/>
      <c r="G27" s="8"/>
      <c r="H27" s="8"/>
      <c r="I27" s="8"/>
    </row>
    <row r="28" spans="1:16" ht="15.75">
      <c r="A28" s="9"/>
      <c r="B28" s="9"/>
      <c r="C28" s="9"/>
      <c r="D28" s="8"/>
      <c r="E28" s="8"/>
      <c r="F28" s="8"/>
      <c r="G28" s="8"/>
      <c r="H28" s="8"/>
      <c r="I28" s="8"/>
    </row>
    <row r="29" spans="1:16" ht="26.25">
      <c r="A29" s="264" t="s">
        <v>133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6"/>
    </row>
    <row r="30" spans="1:16" ht="15.75">
      <c r="A30" s="9"/>
      <c r="B30" s="9"/>
      <c r="C30" s="9"/>
      <c r="D30" s="8"/>
      <c r="E30" s="8"/>
      <c r="F30" s="8"/>
      <c r="G30" s="8"/>
      <c r="H30" s="8"/>
      <c r="I30" s="8"/>
    </row>
    <row r="31" spans="1:16" ht="15.75">
      <c r="A31" s="316" t="s">
        <v>135</v>
      </c>
      <c r="B31" s="316"/>
      <c r="C31" s="316"/>
      <c r="D31" s="8"/>
      <c r="E31" s="8"/>
      <c r="F31" s="316" t="s">
        <v>137</v>
      </c>
      <c r="G31" s="316"/>
      <c r="H31" s="316"/>
      <c r="I31" s="8"/>
      <c r="K31" s="316" t="s">
        <v>138</v>
      </c>
      <c r="L31" s="316"/>
      <c r="M31" s="316"/>
    </row>
    <row r="32" spans="1:16" ht="15.75">
      <c r="A32" s="9"/>
      <c r="B32" s="9"/>
      <c r="C32" s="9"/>
      <c r="D32" s="8"/>
      <c r="E32" s="8"/>
      <c r="F32" s="9"/>
      <c r="G32" s="9"/>
      <c r="H32" s="9"/>
      <c r="I32" s="8"/>
      <c r="K32" s="9"/>
      <c r="L32" s="9"/>
      <c r="M32" s="9"/>
    </row>
    <row r="33" spans="1:21" ht="15.75">
      <c r="A33" s="247" t="s">
        <v>142</v>
      </c>
      <c r="B33" s="226"/>
      <c r="C33" s="248">
        <f>$A$10</f>
        <v>1500000</v>
      </c>
      <c r="D33" s="8"/>
      <c r="E33" s="8"/>
      <c r="F33" s="247" t="s">
        <v>142</v>
      </c>
      <c r="G33" s="226"/>
      <c r="H33" s="248">
        <f>$A$10</f>
        <v>1500000</v>
      </c>
      <c r="I33" s="8"/>
      <c r="K33" s="247" t="s">
        <v>142</v>
      </c>
      <c r="L33" s="226"/>
      <c r="M33" s="248">
        <f>$A$10</f>
        <v>1500000</v>
      </c>
    </row>
    <row r="34" spans="1:21" ht="15.75">
      <c r="A34" s="205" t="s">
        <v>136</v>
      </c>
      <c r="B34" s="9"/>
      <c r="C34" s="206">
        <v>220144.9726504311</v>
      </c>
      <c r="D34" s="8"/>
      <c r="E34" s="8"/>
      <c r="F34" s="205" t="s">
        <v>136</v>
      </c>
      <c r="G34" s="9"/>
      <c r="H34" s="206">
        <f>C34+50000</f>
        <v>270144.9726504311</v>
      </c>
      <c r="I34" s="8"/>
      <c r="K34" s="205" t="s">
        <v>136</v>
      </c>
      <c r="L34" s="9"/>
      <c r="M34" s="206">
        <f>H34+50000</f>
        <v>320144.9726504311</v>
      </c>
    </row>
    <row r="35" spans="1:21" ht="15.75">
      <c r="A35" s="9"/>
      <c r="B35" s="9"/>
      <c r="C35" s="9"/>
      <c r="D35" s="8"/>
      <c r="E35" s="8"/>
      <c r="F35" s="8"/>
      <c r="G35" s="8"/>
      <c r="H35" s="8"/>
      <c r="I35" s="8"/>
    </row>
    <row r="36" spans="1:21" ht="18.75" customHeight="1">
      <c r="A36" s="327" t="s">
        <v>135</v>
      </c>
      <c r="B36" s="327"/>
      <c r="C36" s="327"/>
      <c r="D36" s="204"/>
      <c r="E36" s="1"/>
      <c r="F36" s="261" t="s">
        <v>143</v>
      </c>
      <c r="G36" s="261"/>
      <c r="H36" s="261"/>
      <c r="I36" s="204"/>
      <c r="K36" s="326" t="s">
        <v>144</v>
      </c>
      <c r="L36" s="326"/>
      <c r="M36" s="326"/>
      <c r="N36" s="204"/>
    </row>
    <row r="37" spans="1:21">
      <c r="A37" s="3">
        <v>0</v>
      </c>
      <c r="B37" s="3">
        <v>2014</v>
      </c>
      <c r="C37" s="203">
        <f>$A$10*-1</f>
        <v>-1500000</v>
      </c>
      <c r="D37" s="153"/>
      <c r="F37" s="3">
        <v>0</v>
      </c>
      <c r="G37" s="3">
        <v>2014</v>
      </c>
      <c r="H37" s="18">
        <f>$A$10*-1</f>
        <v>-1500000</v>
      </c>
      <c r="I37" s="153"/>
      <c r="K37" s="3">
        <v>0</v>
      </c>
      <c r="L37" s="3">
        <v>2014</v>
      </c>
      <c r="M37" s="18">
        <f>$A$10*-1</f>
        <v>-1500000</v>
      </c>
      <c r="N37" s="153"/>
      <c r="U37" s="4">
        <v>1.04</v>
      </c>
    </row>
    <row r="38" spans="1:21">
      <c r="A38" s="5">
        <f>A37+1</f>
        <v>1</v>
      </c>
      <c r="B38" s="5">
        <f t="shared" ref="B38:B49" si="0">B37+1</f>
        <v>2015</v>
      </c>
      <c r="C38" s="44">
        <f>C34</f>
        <v>220144.9726504311</v>
      </c>
      <c r="E38" s="4"/>
      <c r="F38" s="5">
        <f>F37+1</f>
        <v>1</v>
      </c>
      <c r="G38" s="5">
        <f t="shared" ref="G38:G49" si="1">G37+1</f>
        <v>2015</v>
      </c>
      <c r="H38" s="44">
        <f>H34</f>
        <v>270144.9726504311</v>
      </c>
      <c r="K38" s="5">
        <f>K37+1</f>
        <v>1</v>
      </c>
      <c r="L38" s="5">
        <f t="shared" ref="L38:L49" si="2">L37+1</f>
        <v>2015</v>
      </c>
      <c r="M38" s="44">
        <f>$M$34</f>
        <v>320144.9726504311</v>
      </c>
    </row>
    <row r="39" spans="1:21">
      <c r="A39" s="5">
        <f t="shared" ref="A39:A49" si="3">A38+1</f>
        <v>2</v>
      </c>
      <c r="B39" s="5">
        <f t="shared" si="0"/>
        <v>2016</v>
      </c>
      <c r="C39" s="44">
        <f t="shared" ref="C39:C49" si="4">$C$38</f>
        <v>220144.9726504311</v>
      </c>
      <c r="E39" s="4"/>
      <c r="F39" s="5">
        <f t="shared" ref="F39:F49" si="5">F38+1</f>
        <v>2</v>
      </c>
      <c r="G39" s="5">
        <f t="shared" si="1"/>
        <v>2016</v>
      </c>
      <c r="H39" s="44">
        <f t="shared" ref="H39:H49" si="6">$H$38</f>
        <v>270144.9726504311</v>
      </c>
      <c r="K39" s="5">
        <f t="shared" ref="K39:K49" si="7">K38+1</f>
        <v>2</v>
      </c>
      <c r="L39" s="5">
        <f t="shared" si="2"/>
        <v>2016</v>
      </c>
      <c r="M39" s="44">
        <f t="shared" ref="M39:M49" si="8">$M$34</f>
        <v>320144.9726504311</v>
      </c>
    </row>
    <row r="40" spans="1:21">
      <c r="A40" s="5">
        <f t="shared" si="3"/>
        <v>3</v>
      </c>
      <c r="B40" s="5">
        <f t="shared" si="0"/>
        <v>2017</v>
      </c>
      <c r="C40" s="44">
        <f t="shared" si="4"/>
        <v>220144.9726504311</v>
      </c>
      <c r="E40" s="4"/>
      <c r="F40" s="5">
        <f t="shared" si="5"/>
        <v>3</v>
      </c>
      <c r="G40" s="5">
        <f t="shared" si="1"/>
        <v>2017</v>
      </c>
      <c r="H40" s="44">
        <f t="shared" si="6"/>
        <v>270144.9726504311</v>
      </c>
      <c r="K40" s="5">
        <f t="shared" si="7"/>
        <v>3</v>
      </c>
      <c r="L40" s="5">
        <f t="shared" si="2"/>
        <v>2017</v>
      </c>
      <c r="M40" s="44">
        <f t="shared" si="8"/>
        <v>320144.9726504311</v>
      </c>
    </row>
    <row r="41" spans="1:21">
      <c r="A41" s="5">
        <f t="shared" si="3"/>
        <v>4</v>
      </c>
      <c r="B41" s="5">
        <f t="shared" si="0"/>
        <v>2018</v>
      </c>
      <c r="C41" s="44">
        <f t="shared" si="4"/>
        <v>220144.9726504311</v>
      </c>
      <c r="E41" s="4"/>
      <c r="F41" s="5">
        <f t="shared" si="5"/>
        <v>4</v>
      </c>
      <c r="G41" s="5">
        <f t="shared" si="1"/>
        <v>2018</v>
      </c>
      <c r="H41" s="44">
        <f t="shared" si="6"/>
        <v>270144.9726504311</v>
      </c>
      <c r="K41" s="5">
        <f t="shared" si="7"/>
        <v>4</v>
      </c>
      <c r="L41" s="5">
        <f t="shared" si="2"/>
        <v>2018</v>
      </c>
      <c r="M41" s="44">
        <f t="shared" si="8"/>
        <v>320144.9726504311</v>
      </c>
    </row>
    <row r="42" spans="1:21">
      <c r="A42" s="5">
        <f t="shared" si="3"/>
        <v>5</v>
      </c>
      <c r="B42" s="5">
        <f t="shared" si="0"/>
        <v>2019</v>
      </c>
      <c r="C42" s="44">
        <f t="shared" si="4"/>
        <v>220144.9726504311</v>
      </c>
      <c r="E42" s="4"/>
      <c r="F42" s="5">
        <f t="shared" si="5"/>
        <v>5</v>
      </c>
      <c r="G42" s="5">
        <f t="shared" si="1"/>
        <v>2019</v>
      </c>
      <c r="H42" s="44">
        <f t="shared" si="6"/>
        <v>270144.9726504311</v>
      </c>
      <c r="K42" s="5">
        <f t="shared" si="7"/>
        <v>5</v>
      </c>
      <c r="L42" s="5">
        <f t="shared" si="2"/>
        <v>2019</v>
      </c>
      <c r="M42" s="44">
        <f t="shared" si="8"/>
        <v>320144.9726504311</v>
      </c>
    </row>
    <row r="43" spans="1:21">
      <c r="A43" s="5">
        <f t="shared" si="3"/>
        <v>6</v>
      </c>
      <c r="B43" s="5">
        <f t="shared" si="0"/>
        <v>2020</v>
      </c>
      <c r="C43" s="44">
        <f t="shared" si="4"/>
        <v>220144.9726504311</v>
      </c>
      <c r="E43" s="52"/>
      <c r="F43" s="5">
        <f t="shared" si="5"/>
        <v>6</v>
      </c>
      <c r="G43" s="5">
        <f t="shared" si="1"/>
        <v>2020</v>
      </c>
      <c r="H43" s="44">
        <f t="shared" si="6"/>
        <v>270144.9726504311</v>
      </c>
      <c r="K43" s="5">
        <f t="shared" si="7"/>
        <v>6</v>
      </c>
      <c r="L43" s="5">
        <f t="shared" si="2"/>
        <v>2020</v>
      </c>
      <c r="M43" s="44">
        <f t="shared" si="8"/>
        <v>320144.9726504311</v>
      </c>
    </row>
    <row r="44" spans="1:21">
      <c r="A44" s="5">
        <f t="shared" si="3"/>
        <v>7</v>
      </c>
      <c r="B44" s="5">
        <f t="shared" si="0"/>
        <v>2021</v>
      </c>
      <c r="C44" s="44">
        <f t="shared" si="4"/>
        <v>220144.9726504311</v>
      </c>
      <c r="E44" s="52"/>
      <c r="F44" s="5">
        <f t="shared" si="5"/>
        <v>7</v>
      </c>
      <c r="G44" s="5">
        <f t="shared" si="1"/>
        <v>2021</v>
      </c>
      <c r="H44" s="44">
        <f t="shared" si="6"/>
        <v>270144.9726504311</v>
      </c>
      <c r="K44" s="5">
        <f t="shared" si="7"/>
        <v>7</v>
      </c>
      <c r="L44" s="5">
        <f t="shared" si="2"/>
        <v>2021</v>
      </c>
      <c r="M44" s="44">
        <f t="shared" si="8"/>
        <v>320144.9726504311</v>
      </c>
    </row>
    <row r="45" spans="1:21">
      <c r="A45" s="5">
        <f t="shared" si="3"/>
        <v>8</v>
      </c>
      <c r="B45" s="5">
        <f t="shared" si="0"/>
        <v>2022</v>
      </c>
      <c r="C45" s="44">
        <f t="shared" si="4"/>
        <v>220144.9726504311</v>
      </c>
      <c r="E45" s="4"/>
      <c r="F45" s="5">
        <f t="shared" si="5"/>
        <v>8</v>
      </c>
      <c r="G45" s="5">
        <f t="shared" si="1"/>
        <v>2022</v>
      </c>
      <c r="H45" s="44">
        <f t="shared" si="6"/>
        <v>270144.9726504311</v>
      </c>
      <c r="K45" s="5">
        <f t="shared" si="7"/>
        <v>8</v>
      </c>
      <c r="L45" s="5">
        <f t="shared" si="2"/>
        <v>2022</v>
      </c>
      <c r="M45" s="44">
        <f t="shared" si="8"/>
        <v>320144.9726504311</v>
      </c>
    </row>
    <row r="46" spans="1:21">
      <c r="A46" s="5">
        <f t="shared" si="3"/>
        <v>9</v>
      </c>
      <c r="B46" s="5">
        <f t="shared" si="0"/>
        <v>2023</v>
      </c>
      <c r="C46" s="44">
        <f t="shared" si="4"/>
        <v>220144.9726504311</v>
      </c>
      <c r="E46" s="4"/>
      <c r="F46" s="5">
        <f t="shared" si="5"/>
        <v>9</v>
      </c>
      <c r="G46" s="5">
        <f t="shared" si="1"/>
        <v>2023</v>
      </c>
      <c r="H46" s="44">
        <f t="shared" si="6"/>
        <v>270144.9726504311</v>
      </c>
      <c r="K46" s="5">
        <f t="shared" si="7"/>
        <v>9</v>
      </c>
      <c r="L46" s="5">
        <f t="shared" si="2"/>
        <v>2023</v>
      </c>
      <c r="M46" s="44">
        <f t="shared" si="8"/>
        <v>320144.9726504311</v>
      </c>
    </row>
    <row r="47" spans="1:21">
      <c r="A47" s="5">
        <f t="shared" si="3"/>
        <v>10</v>
      </c>
      <c r="B47" s="5">
        <f t="shared" si="0"/>
        <v>2024</v>
      </c>
      <c r="C47" s="44">
        <f t="shared" si="4"/>
        <v>220144.9726504311</v>
      </c>
      <c r="E47" s="4"/>
      <c r="F47" s="5">
        <f t="shared" si="5"/>
        <v>10</v>
      </c>
      <c r="G47" s="5">
        <f t="shared" si="1"/>
        <v>2024</v>
      </c>
      <c r="H47" s="44">
        <f t="shared" si="6"/>
        <v>270144.9726504311</v>
      </c>
      <c r="K47" s="5">
        <f t="shared" si="7"/>
        <v>10</v>
      </c>
      <c r="L47" s="5">
        <f t="shared" si="2"/>
        <v>2024</v>
      </c>
      <c r="M47" s="44">
        <f t="shared" si="8"/>
        <v>320144.9726504311</v>
      </c>
    </row>
    <row r="48" spans="1:21">
      <c r="A48" s="5">
        <f t="shared" si="3"/>
        <v>11</v>
      </c>
      <c r="B48" s="5">
        <f t="shared" si="0"/>
        <v>2025</v>
      </c>
      <c r="C48" s="44">
        <f t="shared" si="4"/>
        <v>220144.9726504311</v>
      </c>
      <c r="E48" s="4"/>
      <c r="F48" s="5">
        <f t="shared" si="5"/>
        <v>11</v>
      </c>
      <c r="G48" s="5">
        <f t="shared" si="1"/>
        <v>2025</v>
      </c>
      <c r="H48" s="44">
        <f t="shared" si="6"/>
        <v>270144.9726504311</v>
      </c>
      <c r="K48" s="5">
        <f t="shared" si="7"/>
        <v>11</v>
      </c>
      <c r="L48" s="5">
        <f t="shared" si="2"/>
        <v>2025</v>
      </c>
      <c r="M48" s="44">
        <f t="shared" si="8"/>
        <v>320144.9726504311</v>
      </c>
    </row>
    <row r="49" spans="1:16">
      <c r="A49" s="184">
        <f t="shared" si="3"/>
        <v>12</v>
      </c>
      <c r="B49" s="184">
        <f t="shared" si="0"/>
        <v>2026</v>
      </c>
      <c r="C49" s="183">
        <f t="shared" si="4"/>
        <v>220144.9726504311</v>
      </c>
      <c r="E49" s="52"/>
      <c r="F49" s="184">
        <f t="shared" si="5"/>
        <v>12</v>
      </c>
      <c r="G49" s="184">
        <f t="shared" si="1"/>
        <v>2026</v>
      </c>
      <c r="H49" s="183">
        <f t="shared" si="6"/>
        <v>270144.9726504311</v>
      </c>
      <c r="K49" s="184">
        <f t="shared" si="7"/>
        <v>12</v>
      </c>
      <c r="L49" s="184">
        <f t="shared" si="2"/>
        <v>2026</v>
      </c>
      <c r="M49" s="183">
        <f t="shared" si="8"/>
        <v>320144.9726504311</v>
      </c>
    </row>
    <row r="50" spans="1:16">
      <c r="A50" s="5"/>
      <c r="B50" s="5"/>
      <c r="C50" s="5"/>
      <c r="D50" s="48"/>
      <c r="E50" s="52"/>
      <c r="F50" s="5"/>
      <c r="G50" s="5"/>
      <c r="H50" s="5"/>
      <c r="I50" s="48"/>
    </row>
    <row r="51" spans="1:16">
      <c r="A51" s="1"/>
      <c r="B51" s="1"/>
      <c r="C51" s="12">
        <f>SUM(C37:C50)</f>
        <v>1141739.6718051732</v>
      </c>
      <c r="H51" s="12">
        <f>SUM(H37:H50)</f>
        <v>1741739.6718051732</v>
      </c>
      <c r="M51" s="12">
        <f>SUM(M37:M50)</f>
        <v>2341739.6718051732</v>
      </c>
    </row>
    <row r="52" spans="1:16">
      <c r="A52" s="1"/>
      <c r="B52" s="1"/>
      <c r="C52" s="1"/>
    </row>
    <row r="53" spans="1:16">
      <c r="A53" s="1"/>
      <c r="B53" s="1"/>
      <c r="C53" s="1"/>
    </row>
    <row r="54" spans="1:16">
      <c r="A54" s="1"/>
      <c r="B54" s="1"/>
      <c r="C54" s="1"/>
    </row>
    <row r="55" spans="1:16">
      <c r="A55" s="1"/>
      <c r="B55" s="1"/>
      <c r="C55" s="1"/>
    </row>
    <row r="56" spans="1:16">
      <c r="A56" s="1"/>
      <c r="B56" s="1"/>
      <c r="C56" s="1"/>
    </row>
    <row r="57" spans="1:16">
      <c r="A57" s="1"/>
      <c r="B57" s="1"/>
      <c r="C57" s="1"/>
    </row>
    <row r="58" spans="1:16">
      <c r="A58" s="1"/>
      <c r="B58" s="1"/>
      <c r="C58" s="1"/>
    </row>
    <row r="59" spans="1:16">
      <c r="A59" s="1"/>
      <c r="B59" s="1"/>
      <c r="C59" s="1"/>
    </row>
    <row r="60" spans="1:16">
      <c r="A60" s="1"/>
      <c r="B60" s="1"/>
      <c r="C60" s="1"/>
    </row>
    <row r="61" spans="1:16" ht="26.25">
      <c r="A61" s="264" t="s">
        <v>134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6"/>
    </row>
    <row r="62" spans="1:16">
      <c r="A62" s="1"/>
      <c r="B62" s="1"/>
      <c r="C62" s="1"/>
    </row>
    <row r="63" spans="1:16" ht="18.75">
      <c r="A63" s="334" t="s">
        <v>135</v>
      </c>
      <c r="B63" s="334"/>
      <c r="C63" s="334"/>
      <c r="D63" s="334"/>
      <c r="E63" s="1"/>
      <c r="F63" s="280" t="s">
        <v>143</v>
      </c>
      <c r="G63" s="280"/>
      <c r="H63" s="280"/>
      <c r="I63" s="280"/>
      <c r="K63" s="335" t="s">
        <v>144</v>
      </c>
      <c r="L63" s="335"/>
      <c r="M63" s="335"/>
      <c r="N63" s="335"/>
    </row>
    <row r="64" spans="1:16">
      <c r="A64" s="1"/>
      <c r="B64" s="1"/>
      <c r="C64" s="1"/>
    </row>
    <row r="65" spans="1:14" ht="18.75" customHeight="1">
      <c r="A65" s="330" t="s">
        <v>111</v>
      </c>
      <c r="B65" s="331"/>
      <c r="C65" s="162"/>
      <c r="D65" s="163">
        <v>0.1</v>
      </c>
      <c r="E65" s="1"/>
      <c r="F65" s="330" t="s">
        <v>111</v>
      </c>
      <c r="G65" s="331"/>
      <c r="H65" s="162"/>
      <c r="I65" s="163">
        <v>0.1</v>
      </c>
      <c r="J65" s="1"/>
      <c r="K65" s="330" t="s">
        <v>111</v>
      </c>
      <c r="L65" s="331"/>
      <c r="M65" s="162"/>
      <c r="N65" s="163">
        <v>0.1</v>
      </c>
    </row>
    <row r="66" spans="1:14">
      <c r="A66" s="153"/>
      <c r="B66" s="154"/>
      <c r="C66" s="153"/>
      <c r="D66" s="156"/>
      <c r="F66" s="153"/>
      <c r="G66" s="154"/>
      <c r="H66" s="153"/>
      <c r="I66" s="156"/>
      <c r="K66" s="153"/>
      <c r="L66" s="154"/>
      <c r="M66" s="153"/>
      <c r="N66" s="156"/>
    </row>
    <row r="67" spans="1:14">
      <c r="A67" s="328" t="s">
        <v>117</v>
      </c>
      <c r="B67" s="329"/>
      <c r="C67" s="153"/>
      <c r="D67" s="258">
        <f>C33/C34</f>
        <v>6.8136918228964269</v>
      </c>
      <c r="E67" s="16"/>
      <c r="F67" s="328" t="s">
        <v>117</v>
      </c>
      <c r="G67" s="329"/>
      <c r="H67" s="153"/>
      <c r="I67" s="258">
        <f>H33/H34</f>
        <v>5.5525741800163253</v>
      </c>
      <c r="J67" s="16"/>
      <c r="K67" s="328" t="s">
        <v>117</v>
      </c>
      <c r="L67" s="329"/>
      <c r="M67" s="153"/>
      <c r="N67" s="258">
        <f>M33/M34</f>
        <v>4.6853773388403708</v>
      </c>
    </row>
    <row r="68" spans="1:14">
      <c r="A68" s="155"/>
      <c r="B68" s="156"/>
      <c r="C68" s="155"/>
      <c r="D68" s="156"/>
      <c r="E68" s="1"/>
      <c r="F68" s="155"/>
      <c r="G68" s="156"/>
      <c r="H68" s="155"/>
      <c r="I68" s="156"/>
      <c r="J68" s="1"/>
      <c r="K68" s="155"/>
      <c r="L68" s="156"/>
      <c r="M68" s="155"/>
      <c r="N68" s="156"/>
    </row>
    <row r="69" spans="1:14">
      <c r="A69" s="332" t="s">
        <v>23</v>
      </c>
      <c r="B69" s="333"/>
      <c r="C69" s="155"/>
      <c r="D69" s="164">
        <f>$A$10*-1</f>
        <v>-1500000</v>
      </c>
      <c r="E69" s="1"/>
      <c r="F69" s="332" t="s">
        <v>23</v>
      </c>
      <c r="G69" s="333"/>
      <c r="H69" s="155"/>
      <c r="I69" s="164">
        <f>$A$10*-1</f>
        <v>-1500000</v>
      </c>
      <c r="J69" s="1"/>
      <c r="K69" s="332" t="s">
        <v>23</v>
      </c>
      <c r="L69" s="333"/>
      <c r="M69" s="155"/>
      <c r="N69" s="164">
        <f>$A$10*-1</f>
        <v>-1500000</v>
      </c>
    </row>
    <row r="70" spans="1:14">
      <c r="A70" s="155"/>
      <c r="B70" s="156"/>
      <c r="C70" s="155"/>
      <c r="D70" s="156"/>
      <c r="E70" s="1"/>
      <c r="F70" s="155"/>
      <c r="G70" s="156"/>
      <c r="H70" s="155"/>
      <c r="I70" s="156"/>
      <c r="J70" s="1"/>
      <c r="K70" s="155"/>
      <c r="L70" s="156"/>
      <c r="M70" s="155"/>
      <c r="N70" s="156"/>
    </row>
    <row r="71" spans="1:14">
      <c r="A71" s="328" t="s">
        <v>120</v>
      </c>
      <c r="B71" s="329"/>
      <c r="C71" s="155"/>
      <c r="D71" s="170">
        <f>NPV(D65,D92:D103)</f>
        <v>1500000</v>
      </c>
      <c r="E71" s="145"/>
      <c r="F71" s="328" t="s">
        <v>120</v>
      </c>
      <c r="G71" s="329"/>
      <c r="H71" s="155"/>
      <c r="I71" s="170">
        <f>NPV(I65,I92:I103)</f>
        <v>1840684.5911448211</v>
      </c>
      <c r="J71" s="145"/>
      <c r="K71" s="328" t="s">
        <v>120</v>
      </c>
      <c r="L71" s="329"/>
      <c r="M71" s="155"/>
      <c r="N71" s="170">
        <f>NPV(N65,N92:N103)</f>
        <v>2181369.1822896432</v>
      </c>
    </row>
    <row r="72" spans="1:14">
      <c r="A72" s="155"/>
      <c r="B72" s="156"/>
      <c r="C72" s="155"/>
      <c r="D72" s="156"/>
      <c r="E72" s="1"/>
      <c r="F72" s="155"/>
      <c r="G72" s="156"/>
      <c r="H72" s="155"/>
      <c r="I72" s="156"/>
      <c r="J72" s="1"/>
      <c r="K72" s="155"/>
      <c r="L72" s="156"/>
      <c r="M72" s="155"/>
      <c r="N72" s="156"/>
    </row>
    <row r="73" spans="1:14">
      <c r="A73" s="328" t="s">
        <v>121</v>
      </c>
      <c r="B73" s="329"/>
      <c r="C73" s="166"/>
      <c r="D73" s="167">
        <f>D71+D69</f>
        <v>0</v>
      </c>
      <c r="E73" s="150"/>
      <c r="F73" s="328" t="s">
        <v>121</v>
      </c>
      <c r="G73" s="329"/>
      <c r="H73" s="166"/>
      <c r="I73" s="167">
        <f>I71+I69</f>
        <v>340684.59114482114</v>
      </c>
      <c r="J73" s="150"/>
      <c r="K73" s="328" t="s">
        <v>121</v>
      </c>
      <c r="L73" s="329"/>
      <c r="M73" s="166"/>
      <c r="N73" s="167">
        <f>N71+N69</f>
        <v>681369.18228964321</v>
      </c>
    </row>
    <row r="74" spans="1:14">
      <c r="A74" s="155"/>
      <c r="B74" s="156"/>
      <c r="C74" s="155"/>
      <c r="D74" s="156"/>
      <c r="E74" s="16"/>
      <c r="F74" s="155"/>
      <c r="G74" s="156"/>
      <c r="H74" s="155"/>
      <c r="I74" s="156"/>
      <c r="J74" s="16"/>
      <c r="K74" s="155"/>
      <c r="L74" s="156"/>
      <c r="M74" s="155"/>
      <c r="N74" s="156"/>
    </row>
    <row r="75" spans="1:14">
      <c r="A75" s="328" t="s">
        <v>118</v>
      </c>
      <c r="B75" s="329"/>
      <c r="C75" s="155"/>
      <c r="D75" s="168">
        <f>IRR(C37:C49)</f>
        <v>0.10000000000000003</v>
      </c>
      <c r="E75" s="146"/>
      <c r="F75" s="328" t="s">
        <v>118</v>
      </c>
      <c r="G75" s="329"/>
      <c r="H75" s="155"/>
      <c r="I75" s="168">
        <f>IRR(H37:H49)</f>
        <v>0.14440735539424296</v>
      </c>
      <c r="J75" s="146"/>
      <c r="K75" s="328" t="s">
        <v>118</v>
      </c>
      <c r="L75" s="329"/>
      <c r="M75" s="155"/>
      <c r="N75" s="168">
        <f>IRR(M37:M49)</f>
        <v>0.18582317078974675</v>
      </c>
    </row>
    <row r="76" spans="1:14">
      <c r="A76" s="155"/>
      <c r="B76" s="156"/>
      <c r="C76" s="155"/>
      <c r="D76" s="156"/>
      <c r="E76" s="16"/>
      <c r="F76" s="155"/>
      <c r="G76" s="156"/>
      <c r="H76" s="155"/>
      <c r="I76" s="156"/>
      <c r="J76" s="16"/>
      <c r="K76" s="155"/>
      <c r="L76" s="156"/>
      <c r="M76" s="155"/>
      <c r="N76" s="156"/>
    </row>
    <row r="77" spans="1:14">
      <c r="A77" s="155"/>
      <c r="B77" s="156"/>
      <c r="C77" s="155"/>
      <c r="D77" s="169"/>
      <c r="E77" s="1"/>
      <c r="F77" s="155"/>
      <c r="G77" s="156"/>
      <c r="H77" s="155"/>
      <c r="I77" s="169"/>
      <c r="J77" s="1"/>
      <c r="K77" s="155"/>
      <c r="L77" s="156"/>
      <c r="M77" s="155"/>
      <c r="N77" s="169"/>
    </row>
    <row r="78" spans="1:14" ht="18.75">
      <c r="A78" s="160" t="s">
        <v>33</v>
      </c>
      <c r="B78" s="161"/>
      <c r="C78" s="277" t="s">
        <v>34</v>
      </c>
      <c r="D78" s="278"/>
      <c r="E78" s="147"/>
      <c r="F78" s="160" t="s">
        <v>33</v>
      </c>
      <c r="G78" s="161"/>
      <c r="H78" s="277" t="s">
        <v>119</v>
      </c>
      <c r="I78" s="278"/>
      <c r="J78" s="147"/>
      <c r="K78" s="160" t="s">
        <v>33</v>
      </c>
      <c r="L78" s="161"/>
      <c r="M78" s="277" t="s">
        <v>36</v>
      </c>
      <c r="N78" s="278"/>
    </row>
    <row r="79" spans="1:14">
      <c r="A79" s="1"/>
      <c r="B79" s="1"/>
      <c r="C79" s="1"/>
      <c r="D79" s="1"/>
      <c r="E79" s="1"/>
      <c r="F79" s="1"/>
      <c r="G79" s="1"/>
      <c r="H79" s="1"/>
      <c r="I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</row>
    <row r="89" spans="1:14" ht="28.5">
      <c r="A89" s="267" t="s">
        <v>25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9"/>
    </row>
    <row r="90" spans="1:14">
      <c r="A90" s="1"/>
      <c r="B90" s="1"/>
      <c r="C90" s="1"/>
      <c r="D90" s="1"/>
      <c r="E90" s="1"/>
      <c r="F90" s="1"/>
      <c r="G90" s="1"/>
      <c r="H90" s="1"/>
      <c r="I90" s="1"/>
    </row>
    <row r="91" spans="1:14">
      <c r="A91" s="16"/>
      <c r="B91" s="16">
        <f t="shared" ref="B91:C103" si="9">A37</f>
        <v>0</v>
      </c>
      <c r="C91" s="16">
        <f t="shared" si="9"/>
        <v>2014</v>
      </c>
      <c r="D91" s="55">
        <v>0</v>
      </c>
      <c r="E91" s="1"/>
      <c r="F91" s="16"/>
      <c r="G91" s="16">
        <f t="shared" ref="G91:H103" si="10">F37</f>
        <v>0</v>
      </c>
      <c r="H91" s="16">
        <f t="shared" si="10"/>
        <v>2014</v>
      </c>
      <c r="I91" s="55">
        <v>0</v>
      </c>
      <c r="K91" s="16"/>
      <c r="L91" s="16">
        <f t="shared" ref="L91:M103" si="11">K37</f>
        <v>0</v>
      </c>
      <c r="M91" s="16">
        <f t="shared" si="11"/>
        <v>2014</v>
      </c>
      <c r="N91" s="55">
        <v>0</v>
      </c>
    </row>
    <row r="92" spans="1:14">
      <c r="A92" s="16"/>
      <c r="B92" s="16">
        <f t="shared" si="9"/>
        <v>1</v>
      </c>
      <c r="C92" s="16">
        <f t="shared" si="9"/>
        <v>2015</v>
      </c>
      <c r="D92" s="55">
        <f t="shared" ref="D92:D103" si="12">C38</f>
        <v>220144.9726504311</v>
      </c>
      <c r="E92" s="1"/>
      <c r="F92" s="16"/>
      <c r="G92" s="16">
        <f t="shared" si="10"/>
        <v>1</v>
      </c>
      <c r="H92" s="16">
        <f t="shared" si="10"/>
        <v>2015</v>
      </c>
      <c r="I92" s="55">
        <f t="shared" ref="I92:I103" si="13">H38</f>
        <v>270144.9726504311</v>
      </c>
      <c r="K92" s="16"/>
      <c r="L92" s="16">
        <f t="shared" si="11"/>
        <v>1</v>
      </c>
      <c r="M92" s="16">
        <f t="shared" si="11"/>
        <v>2015</v>
      </c>
      <c r="N92" s="55">
        <f t="shared" ref="N92:N103" si="14">M38</f>
        <v>320144.9726504311</v>
      </c>
    </row>
    <row r="93" spans="1:14">
      <c r="A93" s="16"/>
      <c r="B93" s="16">
        <f t="shared" si="9"/>
        <v>2</v>
      </c>
      <c r="C93" s="16">
        <f t="shared" si="9"/>
        <v>2016</v>
      </c>
      <c r="D93" s="55">
        <f t="shared" si="12"/>
        <v>220144.9726504311</v>
      </c>
      <c r="E93" s="1"/>
      <c r="F93" s="16"/>
      <c r="G93" s="16">
        <f t="shared" si="10"/>
        <v>2</v>
      </c>
      <c r="H93" s="16">
        <f t="shared" si="10"/>
        <v>2016</v>
      </c>
      <c r="I93" s="55">
        <f t="shared" si="13"/>
        <v>270144.9726504311</v>
      </c>
      <c r="K93" s="16"/>
      <c r="L93" s="16">
        <f t="shared" si="11"/>
        <v>2</v>
      </c>
      <c r="M93" s="16">
        <f t="shared" si="11"/>
        <v>2016</v>
      </c>
      <c r="N93" s="55">
        <f t="shared" si="14"/>
        <v>320144.9726504311</v>
      </c>
    </row>
    <row r="94" spans="1:14">
      <c r="A94" s="16"/>
      <c r="B94" s="16">
        <f t="shared" si="9"/>
        <v>3</v>
      </c>
      <c r="C94" s="16">
        <f t="shared" si="9"/>
        <v>2017</v>
      </c>
      <c r="D94" s="55">
        <f t="shared" si="12"/>
        <v>220144.9726504311</v>
      </c>
      <c r="E94" s="1"/>
      <c r="F94" s="16"/>
      <c r="G94" s="16">
        <f t="shared" si="10"/>
        <v>3</v>
      </c>
      <c r="H94" s="16">
        <f t="shared" si="10"/>
        <v>2017</v>
      </c>
      <c r="I94" s="55">
        <f t="shared" si="13"/>
        <v>270144.9726504311</v>
      </c>
      <c r="K94" s="16"/>
      <c r="L94" s="16">
        <f t="shared" si="11"/>
        <v>3</v>
      </c>
      <c r="M94" s="16">
        <f t="shared" si="11"/>
        <v>2017</v>
      </c>
      <c r="N94" s="55">
        <f t="shared" si="14"/>
        <v>320144.9726504311</v>
      </c>
    </row>
    <row r="95" spans="1:14">
      <c r="A95" s="16"/>
      <c r="B95" s="16">
        <f t="shared" si="9"/>
        <v>4</v>
      </c>
      <c r="C95" s="16">
        <f t="shared" si="9"/>
        <v>2018</v>
      </c>
      <c r="D95" s="55">
        <f t="shared" si="12"/>
        <v>220144.9726504311</v>
      </c>
      <c r="E95" s="1"/>
      <c r="F95" s="16"/>
      <c r="G95" s="16">
        <f t="shared" si="10"/>
        <v>4</v>
      </c>
      <c r="H95" s="16">
        <f t="shared" si="10"/>
        <v>2018</v>
      </c>
      <c r="I95" s="55">
        <f t="shared" si="13"/>
        <v>270144.9726504311</v>
      </c>
      <c r="K95" s="16"/>
      <c r="L95" s="16">
        <f t="shared" si="11"/>
        <v>4</v>
      </c>
      <c r="M95" s="16">
        <f t="shared" si="11"/>
        <v>2018</v>
      </c>
      <c r="N95" s="55">
        <f t="shared" si="14"/>
        <v>320144.9726504311</v>
      </c>
    </row>
    <row r="96" spans="1:14">
      <c r="A96" s="16"/>
      <c r="B96" s="16">
        <f t="shared" si="9"/>
        <v>5</v>
      </c>
      <c r="C96" s="16">
        <f t="shared" si="9"/>
        <v>2019</v>
      </c>
      <c r="D96" s="55">
        <f t="shared" si="12"/>
        <v>220144.9726504311</v>
      </c>
      <c r="E96" s="1"/>
      <c r="F96" s="16"/>
      <c r="G96" s="16">
        <f t="shared" si="10"/>
        <v>5</v>
      </c>
      <c r="H96" s="16">
        <f t="shared" si="10"/>
        <v>2019</v>
      </c>
      <c r="I96" s="55">
        <f t="shared" si="13"/>
        <v>270144.9726504311</v>
      </c>
      <c r="K96" s="16"/>
      <c r="L96" s="16">
        <f t="shared" si="11"/>
        <v>5</v>
      </c>
      <c r="M96" s="16">
        <f t="shared" si="11"/>
        <v>2019</v>
      </c>
      <c r="N96" s="55">
        <f t="shared" si="14"/>
        <v>320144.9726504311</v>
      </c>
    </row>
    <row r="97" spans="1:14">
      <c r="A97" s="16"/>
      <c r="B97" s="16">
        <f t="shared" si="9"/>
        <v>6</v>
      </c>
      <c r="C97" s="16">
        <f t="shared" si="9"/>
        <v>2020</v>
      </c>
      <c r="D97" s="55">
        <f t="shared" si="12"/>
        <v>220144.9726504311</v>
      </c>
      <c r="E97" s="1"/>
      <c r="F97" s="16"/>
      <c r="G97" s="16">
        <f t="shared" si="10"/>
        <v>6</v>
      </c>
      <c r="H97" s="16">
        <f t="shared" si="10"/>
        <v>2020</v>
      </c>
      <c r="I97" s="55">
        <f t="shared" si="13"/>
        <v>270144.9726504311</v>
      </c>
      <c r="K97" s="16"/>
      <c r="L97" s="16">
        <f t="shared" si="11"/>
        <v>6</v>
      </c>
      <c r="M97" s="16">
        <f t="shared" si="11"/>
        <v>2020</v>
      </c>
      <c r="N97" s="55">
        <f t="shared" si="14"/>
        <v>320144.9726504311</v>
      </c>
    </row>
    <row r="98" spans="1:14">
      <c r="A98" s="16"/>
      <c r="B98" s="16">
        <f t="shared" si="9"/>
        <v>7</v>
      </c>
      <c r="C98" s="16">
        <f t="shared" si="9"/>
        <v>2021</v>
      </c>
      <c r="D98" s="55">
        <f t="shared" si="12"/>
        <v>220144.9726504311</v>
      </c>
      <c r="E98" s="1"/>
      <c r="F98" s="16"/>
      <c r="G98" s="16">
        <f t="shared" si="10"/>
        <v>7</v>
      </c>
      <c r="H98" s="16">
        <f t="shared" si="10"/>
        <v>2021</v>
      </c>
      <c r="I98" s="55">
        <f t="shared" si="13"/>
        <v>270144.9726504311</v>
      </c>
      <c r="K98" s="16"/>
      <c r="L98" s="16">
        <f t="shared" si="11"/>
        <v>7</v>
      </c>
      <c r="M98" s="16">
        <f t="shared" si="11"/>
        <v>2021</v>
      </c>
      <c r="N98" s="55">
        <f t="shared" si="14"/>
        <v>320144.9726504311</v>
      </c>
    </row>
    <row r="99" spans="1:14">
      <c r="A99" s="16"/>
      <c r="B99" s="16">
        <f t="shared" si="9"/>
        <v>8</v>
      </c>
      <c r="C99" s="16">
        <f t="shared" si="9"/>
        <v>2022</v>
      </c>
      <c r="D99" s="55">
        <f t="shared" si="12"/>
        <v>220144.9726504311</v>
      </c>
      <c r="E99" s="1"/>
      <c r="F99" s="16"/>
      <c r="G99" s="16">
        <f t="shared" si="10"/>
        <v>8</v>
      </c>
      <c r="H99" s="16">
        <f t="shared" si="10"/>
        <v>2022</v>
      </c>
      <c r="I99" s="55">
        <f t="shared" si="13"/>
        <v>270144.9726504311</v>
      </c>
      <c r="K99" s="16"/>
      <c r="L99" s="16">
        <f t="shared" si="11"/>
        <v>8</v>
      </c>
      <c r="M99" s="16">
        <f t="shared" si="11"/>
        <v>2022</v>
      </c>
      <c r="N99" s="55">
        <f t="shared" si="14"/>
        <v>320144.9726504311</v>
      </c>
    </row>
    <row r="100" spans="1:14">
      <c r="A100" s="16"/>
      <c r="B100" s="16">
        <f t="shared" si="9"/>
        <v>9</v>
      </c>
      <c r="C100" s="16">
        <f t="shared" si="9"/>
        <v>2023</v>
      </c>
      <c r="D100" s="55">
        <f t="shared" si="12"/>
        <v>220144.9726504311</v>
      </c>
      <c r="E100" s="1"/>
      <c r="F100" s="16"/>
      <c r="G100" s="16">
        <f t="shared" si="10"/>
        <v>9</v>
      </c>
      <c r="H100" s="16">
        <f t="shared" si="10"/>
        <v>2023</v>
      </c>
      <c r="I100" s="55">
        <f t="shared" si="13"/>
        <v>270144.9726504311</v>
      </c>
      <c r="K100" s="16"/>
      <c r="L100" s="16">
        <f t="shared" si="11"/>
        <v>9</v>
      </c>
      <c r="M100" s="16">
        <f t="shared" si="11"/>
        <v>2023</v>
      </c>
      <c r="N100" s="55">
        <f t="shared" si="14"/>
        <v>320144.9726504311</v>
      </c>
    </row>
    <row r="101" spans="1:14">
      <c r="A101" s="16"/>
      <c r="B101" s="16">
        <f t="shared" si="9"/>
        <v>10</v>
      </c>
      <c r="C101" s="16">
        <f t="shared" si="9"/>
        <v>2024</v>
      </c>
      <c r="D101" s="55">
        <f t="shared" si="12"/>
        <v>220144.9726504311</v>
      </c>
      <c r="E101" s="1"/>
      <c r="F101" s="16"/>
      <c r="G101" s="16">
        <f t="shared" si="10"/>
        <v>10</v>
      </c>
      <c r="H101" s="16">
        <f t="shared" si="10"/>
        <v>2024</v>
      </c>
      <c r="I101" s="55">
        <f t="shared" si="13"/>
        <v>270144.9726504311</v>
      </c>
      <c r="K101" s="16"/>
      <c r="L101" s="16">
        <f t="shared" si="11"/>
        <v>10</v>
      </c>
      <c r="M101" s="16">
        <f t="shared" si="11"/>
        <v>2024</v>
      </c>
      <c r="N101" s="55">
        <f t="shared" si="14"/>
        <v>320144.9726504311</v>
      </c>
    </row>
    <row r="102" spans="1:14">
      <c r="A102" s="16"/>
      <c r="B102" s="16">
        <f t="shared" si="9"/>
        <v>11</v>
      </c>
      <c r="C102" s="16">
        <f t="shared" si="9"/>
        <v>2025</v>
      </c>
      <c r="D102" s="55">
        <f t="shared" si="12"/>
        <v>220144.9726504311</v>
      </c>
      <c r="E102" s="1"/>
      <c r="F102" s="16"/>
      <c r="G102" s="16">
        <f t="shared" si="10"/>
        <v>11</v>
      </c>
      <c r="H102" s="16">
        <f t="shared" si="10"/>
        <v>2025</v>
      </c>
      <c r="I102" s="55">
        <f t="shared" si="13"/>
        <v>270144.9726504311</v>
      </c>
      <c r="K102" s="16"/>
      <c r="L102" s="16">
        <f t="shared" si="11"/>
        <v>11</v>
      </c>
      <c r="M102" s="16">
        <f t="shared" si="11"/>
        <v>2025</v>
      </c>
      <c r="N102" s="55">
        <f t="shared" si="14"/>
        <v>320144.9726504311</v>
      </c>
    </row>
    <row r="103" spans="1:14">
      <c r="A103" s="121"/>
      <c r="B103" s="121">
        <f t="shared" si="9"/>
        <v>12</v>
      </c>
      <c r="C103" s="121">
        <f t="shared" si="9"/>
        <v>2026</v>
      </c>
      <c r="D103" s="186">
        <f t="shared" si="12"/>
        <v>220144.9726504311</v>
      </c>
      <c r="E103" s="1"/>
      <c r="F103" s="121"/>
      <c r="G103" s="121">
        <f t="shared" si="10"/>
        <v>12</v>
      </c>
      <c r="H103" s="121">
        <f t="shared" si="10"/>
        <v>2026</v>
      </c>
      <c r="I103" s="186">
        <f t="shared" si="13"/>
        <v>270144.9726504311</v>
      </c>
      <c r="K103" s="121"/>
      <c r="L103" s="121">
        <f t="shared" si="11"/>
        <v>12</v>
      </c>
      <c r="M103" s="121">
        <f t="shared" si="11"/>
        <v>2026</v>
      </c>
      <c r="N103" s="186">
        <f t="shared" si="14"/>
        <v>320144.9726504311</v>
      </c>
    </row>
    <row r="104" spans="1:14">
      <c r="A104" s="16"/>
      <c r="B104" s="16"/>
      <c r="C104" s="16"/>
      <c r="D104" s="55"/>
      <c r="E104" s="1"/>
      <c r="F104" s="16"/>
      <c r="G104" s="16"/>
      <c r="H104" s="16"/>
      <c r="I104" s="43"/>
    </row>
    <row r="105" spans="1:14">
      <c r="A105" s="16"/>
      <c r="B105" s="16"/>
      <c r="C105" s="16"/>
      <c r="D105" s="55"/>
      <c r="E105" s="1"/>
      <c r="F105" s="16"/>
      <c r="G105" s="16"/>
      <c r="H105" s="16"/>
      <c r="I105" s="55"/>
    </row>
    <row r="106" spans="1:14">
      <c r="A106" s="16"/>
      <c r="B106" s="16"/>
      <c r="C106" s="16"/>
      <c r="D106" s="55"/>
      <c r="E106" s="1"/>
      <c r="F106" s="16"/>
      <c r="G106" s="16"/>
      <c r="H106" s="16"/>
      <c r="I106" s="55"/>
    </row>
    <row r="107" spans="1:14">
      <c r="A107" s="16"/>
      <c r="B107" s="16"/>
      <c r="C107" s="16"/>
      <c r="D107" s="55"/>
      <c r="E107" s="1"/>
      <c r="F107" s="16"/>
      <c r="G107" s="16"/>
      <c r="H107" s="16"/>
      <c r="I107" s="55"/>
    </row>
    <row r="108" spans="1:14">
      <c r="A108" s="16"/>
      <c r="B108" s="16"/>
      <c r="C108" s="16"/>
      <c r="D108" s="55"/>
      <c r="E108" s="1"/>
      <c r="F108" s="16"/>
      <c r="G108" s="16"/>
      <c r="H108" s="16"/>
      <c r="I108" s="55"/>
    </row>
    <row r="109" spans="1:14">
      <c r="A109" s="16"/>
      <c r="B109" s="16"/>
      <c r="C109" s="16"/>
      <c r="D109" s="55"/>
      <c r="E109" s="1"/>
      <c r="F109" s="16"/>
      <c r="G109" s="16"/>
      <c r="H109" s="16"/>
      <c r="I109" s="55"/>
    </row>
    <row r="110" spans="1:14">
      <c r="A110" s="1"/>
      <c r="B110" s="1"/>
      <c r="C110" s="1"/>
      <c r="D110" s="12"/>
      <c r="E110" s="1"/>
      <c r="F110" s="1"/>
      <c r="G110" s="1"/>
      <c r="H110" s="1"/>
      <c r="I110" s="12"/>
    </row>
    <row r="111" spans="1:14">
      <c r="A111" s="1"/>
      <c r="B111" s="1"/>
      <c r="C111" s="1"/>
      <c r="D111" s="12"/>
      <c r="E111" s="1"/>
      <c r="F111" s="1"/>
      <c r="G111" s="1"/>
      <c r="H111" s="1"/>
      <c r="I111" s="12"/>
    </row>
    <row r="112" spans="1:14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</sheetData>
  <mergeCells count="37">
    <mergeCell ref="A65:B65"/>
    <mergeCell ref="A69:B69"/>
    <mergeCell ref="A71:B71"/>
    <mergeCell ref="K65:L65"/>
    <mergeCell ref="A63:D63"/>
    <mergeCell ref="F63:I63"/>
    <mergeCell ref="K63:N63"/>
    <mergeCell ref="K67:L67"/>
    <mergeCell ref="F67:G67"/>
    <mergeCell ref="A67:B67"/>
    <mergeCell ref="K69:L69"/>
    <mergeCell ref="K71:L71"/>
    <mergeCell ref="A89:N89"/>
    <mergeCell ref="F36:H36"/>
    <mergeCell ref="K36:M36"/>
    <mergeCell ref="A36:C36"/>
    <mergeCell ref="C78:D78"/>
    <mergeCell ref="H78:I78"/>
    <mergeCell ref="M78:N78"/>
    <mergeCell ref="K73:L73"/>
    <mergeCell ref="K75:L75"/>
    <mergeCell ref="A73:B73"/>
    <mergeCell ref="A75:B75"/>
    <mergeCell ref="F65:G65"/>
    <mergeCell ref="F69:G69"/>
    <mergeCell ref="F71:G71"/>
    <mergeCell ref="F73:G73"/>
    <mergeCell ref="F75:G75"/>
    <mergeCell ref="A6:P6"/>
    <mergeCell ref="A29:P29"/>
    <mergeCell ref="A61:P61"/>
    <mergeCell ref="A31:C31"/>
    <mergeCell ref="F31:H31"/>
    <mergeCell ref="K31:M31"/>
    <mergeCell ref="A13:C13"/>
    <mergeCell ref="E13:G13"/>
    <mergeCell ref="I13:K1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ignoredErrors>
    <ignoredError sqref="G17:K17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topLeftCell="A3" workbookViewId="0">
      <selection activeCell="R18" sqref="R18"/>
    </sheetView>
  </sheetViews>
  <sheetFormatPr defaultRowHeight="15.75"/>
  <cols>
    <col min="1" max="1" width="15.140625" style="127" customWidth="1"/>
    <col min="2" max="2" width="10.5703125" style="1" customWidth="1"/>
    <col min="3" max="3" width="10" style="1" customWidth="1"/>
    <col min="4" max="4" width="13.5703125" style="1" customWidth="1"/>
    <col min="5" max="5" width="3.140625" style="1" customWidth="1"/>
    <col min="6" max="6" width="13" style="37" customWidth="1"/>
    <col min="7" max="7" width="7" style="4" customWidth="1"/>
    <col min="8" max="8" width="1.85546875" style="2" customWidth="1"/>
    <col min="9" max="9" width="6.5703125" style="2" customWidth="1"/>
    <col min="10" max="10" width="3" style="2" customWidth="1"/>
    <col min="11" max="11" width="10.42578125" style="2" customWidth="1"/>
    <col min="12" max="12" width="3.140625" style="1" customWidth="1"/>
    <col min="13" max="13" width="10.7109375" style="37" customWidth="1"/>
    <col min="14" max="14" width="5" style="4" customWidth="1"/>
    <col min="15" max="15" width="2.140625" style="2" customWidth="1"/>
    <col min="16" max="16" width="5.7109375" style="8" customWidth="1"/>
    <col min="17" max="17" width="3" style="2" customWidth="1"/>
    <col min="18" max="18" width="9.85546875" style="2" customWidth="1"/>
    <col min="19" max="19" width="9.85546875" style="4" customWidth="1"/>
    <col min="20" max="20" width="9.85546875" style="2" customWidth="1"/>
    <col min="21" max="16384" width="9.140625" style="2"/>
  </cols>
  <sheetData>
    <row r="1" spans="1:23" ht="21">
      <c r="E1" s="26"/>
      <c r="F1" s="35"/>
      <c r="G1" s="279" t="s">
        <v>32</v>
      </c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5" spans="1:23" s="139" customFormat="1" ht="19.5" customHeight="1">
      <c r="A5" s="340" t="s">
        <v>71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138"/>
      <c r="V5" s="138"/>
      <c r="W5" s="138"/>
    </row>
    <row r="6" spans="1:23" ht="13.5" customHeight="1"/>
    <row r="7" spans="1:23" ht="46.5" customHeight="1">
      <c r="A7" s="343" t="s">
        <v>81</v>
      </c>
      <c r="B7" s="174" t="s">
        <v>78</v>
      </c>
      <c r="C7" s="175" t="s">
        <v>1</v>
      </c>
      <c r="D7" s="175" t="s">
        <v>4</v>
      </c>
      <c r="E7" s="52"/>
      <c r="F7" s="176" t="s">
        <v>27</v>
      </c>
      <c r="G7" s="52"/>
      <c r="H7" s="52"/>
      <c r="I7" s="52"/>
      <c r="J7" s="52"/>
      <c r="K7" s="176" t="s">
        <v>28</v>
      </c>
      <c r="L7" s="52"/>
      <c r="M7" s="176" t="s">
        <v>27</v>
      </c>
      <c r="N7" s="52"/>
      <c r="O7" s="52"/>
      <c r="P7" s="52"/>
      <c r="Q7" s="52"/>
      <c r="R7" s="346" t="s">
        <v>100</v>
      </c>
      <c r="S7" s="347"/>
      <c r="T7" s="348"/>
      <c r="U7" s="4"/>
    </row>
    <row r="8" spans="1:23">
      <c r="A8" s="344"/>
      <c r="B8" s="56" t="s">
        <v>0</v>
      </c>
      <c r="C8" s="57" t="s">
        <v>0</v>
      </c>
      <c r="D8" s="57" t="s">
        <v>0</v>
      </c>
      <c r="E8" s="52"/>
      <c r="F8" s="57" t="s">
        <v>0</v>
      </c>
      <c r="G8" s="58"/>
      <c r="H8" s="342" t="s">
        <v>6</v>
      </c>
      <c r="I8" s="342"/>
      <c r="J8" s="58"/>
      <c r="K8" s="57" t="s">
        <v>29</v>
      </c>
      <c r="L8" s="52"/>
      <c r="M8" s="19" t="s">
        <v>30</v>
      </c>
      <c r="N8" s="58"/>
      <c r="O8" s="342" t="s">
        <v>6</v>
      </c>
      <c r="P8" s="342"/>
      <c r="Q8" s="58"/>
      <c r="R8" s="46" t="s">
        <v>8</v>
      </c>
      <c r="S8" s="46" t="s">
        <v>9</v>
      </c>
      <c r="T8" s="7" t="s">
        <v>10</v>
      </c>
      <c r="U8" s="4"/>
      <c r="V8" s="339" t="s">
        <v>6</v>
      </c>
      <c r="W8" s="339"/>
    </row>
    <row r="9" spans="1:23" s="8" customFormat="1" ht="19.5" customHeight="1">
      <c r="A9" s="345"/>
      <c r="B9" s="24">
        <v>3</v>
      </c>
      <c r="C9" s="24">
        <v>1.5454545454545474</v>
      </c>
      <c r="D9" s="24">
        <f>(B9+C9)*10%</f>
        <v>0.45454545454545481</v>
      </c>
      <c r="F9" s="34">
        <f>SUM(B9:E9)</f>
        <v>5.0000000000000027</v>
      </c>
      <c r="G9" s="39" t="s">
        <v>2</v>
      </c>
      <c r="I9" s="31">
        <v>1</v>
      </c>
      <c r="J9" s="31"/>
      <c r="K9" s="28">
        <v>1111</v>
      </c>
      <c r="M9" s="42">
        <f>F9*K9</f>
        <v>5555.0000000000027</v>
      </c>
      <c r="N9" s="39" t="s">
        <v>3</v>
      </c>
      <c r="P9" s="31">
        <v>1</v>
      </c>
      <c r="Q9" s="31"/>
      <c r="R9" s="28">
        <v>250</v>
      </c>
      <c r="S9" s="65">
        <f>R9*90%</f>
        <v>225</v>
      </c>
      <c r="T9" s="65">
        <f>S9*90%</f>
        <v>202.5</v>
      </c>
      <c r="U9" s="4" t="s">
        <v>77</v>
      </c>
      <c r="V9" s="10"/>
      <c r="W9" s="38">
        <v>1</v>
      </c>
    </row>
    <row r="10" spans="1:23" s="8" customFormat="1" ht="16.5" customHeight="1">
      <c r="A10" s="128"/>
      <c r="B10" s="25"/>
      <c r="C10" s="25"/>
      <c r="D10" s="25"/>
      <c r="E10" s="25"/>
      <c r="F10" s="23"/>
      <c r="G10" s="40"/>
      <c r="H10" s="17"/>
      <c r="K10" s="23"/>
      <c r="L10" s="25"/>
      <c r="M10" s="11"/>
      <c r="N10" s="4"/>
      <c r="O10" s="17"/>
      <c r="U10" s="4"/>
      <c r="V10" s="17"/>
    </row>
    <row r="11" spans="1:23" s="8" customFormat="1" ht="47.25" customHeight="1">
      <c r="A11" s="343" t="s">
        <v>40</v>
      </c>
      <c r="B11" s="59" t="s">
        <v>79</v>
      </c>
      <c r="C11" s="60" t="s">
        <v>1</v>
      </c>
      <c r="D11" s="60" t="s">
        <v>4</v>
      </c>
      <c r="E11" s="52"/>
      <c r="F11" s="61" t="s">
        <v>27</v>
      </c>
      <c r="G11" s="52"/>
      <c r="H11" s="52"/>
      <c r="I11" s="52"/>
      <c r="J11" s="52"/>
      <c r="K11" s="61" t="s">
        <v>28</v>
      </c>
      <c r="L11" s="52"/>
      <c r="M11" s="61" t="s">
        <v>27</v>
      </c>
      <c r="N11" s="52"/>
      <c r="O11" s="52"/>
      <c r="P11" s="52"/>
      <c r="Q11" s="52"/>
      <c r="R11" s="349" t="s">
        <v>26</v>
      </c>
      <c r="S11" s="350"/>
      <c r="T11" s="351"/>
      <c r="U11" s="4"/>
      <c r="V11" s="17"/>
    </row>
    <row r="12" spans="1:23" s="8" customFormat="1" ht="19.5" customHeight="1">
      <c r="A12" s="344"/>
      <c r="B12" s="56" t="s">
        <v>0</v>
      </c>
      <c r="C12" s="57" t="s">
        <v>0</v>
      </c>
      <c r="D12" s="57" t="s">
        <v>0</v>
      </c>
      <c r="E12" s="52"/>
      <c r="F12" s="57" t="s">
        <v>0</v>
      </c>
      <c r="G12" s="58"/>
      <c r="H12" s="342" t="s">
        <v>6</v>
      </c>
      <c r="I12" s="342"/>
      <c r="J12" s="58"/>
      <c r="K12" s="57" t="s">
        <v>29</v>
      </c>
      <c r="L12" s="52"/>
      <c r="M12" s="19" t="s">
        <v>30</v>
      </c>
      <c r="N12" s="58"/>
      <c r="O12" s="342" t="s">
        <v>6</v>
      </c>
      <c r="P12" s="342"/>
      <c r="Q12" s="58"/>
      <c r="R12" s="46" t="s">
        <v>8</v>
      </c>
      <c r="S12" s="46" t="s">
        <v>9</v>
      </c>
      <c r="T12" s="7" t="s">
        <v>10</v>
      </c>
      <c r="U12" s="4"/>
      <c r="V12" s="339" t="s">
        <v>6</v>
      </c>
      <c r="W12" s="339"/>
    </row>
    <row r="13" spans="1:23" s="8" customFormat="1" ht="19.5" customHeight="1">
      <c r="A13" s="345"/>
      <c r="B13" s="24">
        <v>4.3245454545454551</v>
      </c>
      <c r="C13" s="24">
        <v>1.1299999999999999</v>
      </c>
      <c r="D13" s="24">
        <f>(B13+C13)*10%</f>
        <v>0.54545454545454553</v>
      </c>
      <c r="F13" s="34">
        <f>SUM(B13:E13)</f>
        <v>6.0000000000000009</v>
      </c>
      <c r="G13" s="39" t="s">
        <v>2</v>
      </c>
      <c r="H13" s="8" t="s">
        <v>5</v>
      </c>
      <c r="I13" s="31">
        <f>(F13/$F$9)-100%</f>
        <v>0.19999999999999951</v>
      </c>
      <c r="J13" s="30"/>
      <c r="K13" s="28">
        <f>K9</f>
        <v>1111</v>
      </c>
      <c r="M13" s="42">
        <f>F13*K13</f>
        <v>6666.0000000000009</v>
      </c>
      <c r="N13" s="39" t="s">
        <v>3</v>
      </c>
      <c r="O13" s="8" t="s">
        <v>5</v>
      </c>
      <c r="P13" s="30">
        <f>(M13/$M$9)-100%</f>
        <v>0.19999999999999951</v>
      </c>
      <c r="Q13" s="30"/>
      <c r="R13" s="28">
        <v>350</v>
      </c>
      <c r="S13" s="65">
        <f>R13*90%</f>
        <v>315</v>
      </c>
      <c r="T13" s="65">
        <f>S13*90%</f>
        <v>283.5</v>
      </c>
      <c r="U13" s="4" t="s">
        <v>77</v>
      </c>
      <c r="V13" s="10" t="s">
        <v>5</v>
      </c>
      <c r="W13" s="32">
        <f>(R13/$R$9)-100%</f>
        <v>0.39999999999999991</v>
      </c>
    </row>
    <row r="14" spans="1:23" s="8" customFormat="1" ht="16.5" customHeight="1">
      <c r="A14" s="128"/>
      <c r="B14" s="25"/>
      <c r="C14" s="25"/>
      <c r="D14" s="25"/>
      <c r="E14" s="25"/>
      <c r="F14" s="23"/>
      <c r="G14" s="41"/>
      <c r="K14" s="23"/>
      <c r="L14" s="25"/>
      <c r="M14" s="11"/>
      <c r="N14" s="4"/>
      <c r="R14" s="23"/>
      <c r="U14" s="4"/>
    </row>
    <row r="15" spans="1:23" s="8" customFormat="1" ht="49.5" customHeight="1">
      <c r="A15" s="343" t="s">
        <v>80</v>
      </c>
      <c r="B15" s="62" t="s">
        <v>79</v>
      </c>
      <c r="C15" s="63" t="s">
        <v>1</v>
      </c>
      <c r="D15" s="63" t="s">
        <v>4</v>
      </c>
      <c r="E15" s="52"/>
      <c r="F15" s="64" t="s">
        <v>27</v>
      </c>
      <c r="G15" s="52"/>
      <c r="H15" s="52"/>
      <c r="I15" s="52"/>
      <c r="J15" s="52"/>
      <c r="K15" s="64" t="s">
        <v>28</v>
      </c>
      <c r="L15" s="52"/>
      <c r="M15" s="64" t="s">
        <v>27</v>
      </c>
      <c r="N15" s="52"/>
      <c r="O15" s="52"/>
      <c r="P15" s="52"/>
      <c r="Q15" s="52"/>
      <c r="R15" s="336" t="s">
        <v>26</v>
      </c>
      <c r="S15" s="337"/>
      <c r="T15" s="338"/>
      <c r="U15" s="4"/>
    </row>
    <row r="16" spans="1:23" s="8" customFormat="1" ht="19.5" customHeight="1">
      <c r="A16" s="344"/>
      <c r="B16" s="56" t="s">
        <v>0</v>
      </c>
      <c r="C16" s="57" t="s">
        <v>0</v>
      </c>
      <c r="D16" s="57" t="s">
        <v>0</v>
      </c>
      <c r="E16" s="52"/>
      <c r="F16" s="57" t="s">
        <v>0</v>
      </c>
      <c r="G16" s="58"/>
      <c r="H16" s="342" t="s">
        <v>6</v>
      </c>
      <c r="I16" s="342"/>
      <c r="J16" s="58"/>
      <c r="K16" s="57" t="s">
        <v>29</v>
      </c>
      <c r="L16" s="52"/>
      <c r="M16" s="19" t="s">
        <v>30</v>
      </c>
      <c r="N16" s="58"/>
      <c r="O16" s="342" t="s">
        <v>6</v>
      </c>
      <c r="P16" s="342"/>
      <c r="Q16" s="58"/>
      <c r="R16" s="46" t="s">
        <v>8</v>
      </c>
      <c r="S16" s="46" t="s">
        <v>9</v>
      </c>
      <c r="T16" s="7" t="s">
        <v>10</v>
      </c>
      <c r="U16" s="4"/>
      <c r="V16" s="339" t="s">
        <v>6</v>
      </c>
      <c r="W16" s="339"/>
    </row>
    <row r="17" spans="1:23" s="8" customFormat="1" ht="19.5" customHeight="1">
      <c r="A17" s="345"/>
      <c r="B17" s="24">
        <v>4.8636363636363633</v>
      </c>
      <c r="C17" s="24">
        <v>1.5</v>
      </c>
      <c r="D17" s="24">
        <f>(B17+C17)*10%</f>
        <v>0.63636363636363635</v>
      </c>
      <c r="F17" s="34">
        <f>SUM(B17:E17)</f>
        <v>7</v>
      </c>
      <c r="G17" s="39" t="s">
        <v>2</v>
      </c>
      <c r="H17" s="8" t="s">
        <v>5</v>
      </c>
      <c r="I17" s="31">
        <f>(F17/$F$9)-100%</f>
        <v>0.39999999999999925</v>
      </c>
      <c r="J17" s="30"/>
      <c r="K17" s="28">
        <f>K9</f>
        <v>1111</v>
      </c>
      <c r="M17" s="42">
        <f>F17*K17</f>
        <v>7777</v>
      </c>
      <c r="N17" s="39" t="s">
        <v>3</v>
      </c>
      <c r="O17" s="8" t="s">
        <v>5</v>
      </c>
      <c r="P17" s="30">
        <f>(M17/$M$9)-100%</f>
        <v>0.39999999999999925</v>
      </c>
      <c r="Q17" s="30"/>
      <c r="R17" s="28">
        <v>450</v>
      </c>
      <c r="S17" s="65">
        <f>R17*90%</f>
        <v>405</v>
      </c>
      <c r="T17" s="65">
        <f>S17*90%</f>
        <v>364.5</v>
      </c>
      <c r="U17" s="4" t="s">
        <v>77</v>
      </c>
      <c r="V17" s="10" t="s">
        <v>5</v>
      </c>
      <c r="W17" s="32">
        <f>(R17/$R$9)-100%</f>
        <v>0.8</v>
      </c>
    </row>
    <row r="18" spans="1:23" s="8" customFormat="1" ht="19.5" customHeight="1">
      <c r="A18" s="128"/>
      <c r="B18" s="25"/>
      <c r="C18" s="25"/>
      <c r="D18" s="25"/>
      <c r="E18" s="25"/>
      <c r="F18" s="23"/>
      <c r="G18" s="41"/>
      <c r="H18" s="29"/>
      <c r="I18" s="29"/>
      <c r="J18" s="29"/>
      <c r="K18" s="22"/>
      <c r="L18" s="25"/>
      <c r="M18" s="11"/>
      <c r="N18" s="4"/>
      <c r="Q18" s="29"/>
      <c r="S18" s="4"/>
    </row>
    <row r="19" spans="1:23" s="8" customFormat="1" ht="19.5" customHeight="1">
      <c r="A19" s="128"/>
      <c r="B19" s="25"/>
      <c r="C19" s="25"/>
      <c r="D19" s="25"/>
      <c r="E19" s="25"/>
      <c r="F19" s="23"/>
      <c r="G19" s="40"/>
      <c r="H19" s="22"/>
      <c r="I19" s="22"/>
      <c r="J19" s="22"/>
      <c r="K19" s="22"/>
      <c r="L19" s="25"/>
      <c r="M19" s="11"/>
      <c r="N19" s="4"/>
      <c r="Q19" s="22"/>
      <c r="S19" s="4"/>
    </row>
    <row r="20" spans="1:23">
      <c r="B20" s="21"/>
      <c r="C20" s="21"/>
      <c r="D20" s="21"/>
      <c r="E20" s="21"/>
      <c r="F20" s="36"/>
      <c r="G20" s="40"/>
      <c r="H20" s="20"/>
      <c r="I20" s="20"/>
      <c r="J20" s="20"/>
      <c r="K20" s="20"/>
      <c r="L20" s="21"/>
      <c r="Q20" s="20"/>
    </row>
  </sheetData>
  <mergeCells count="17">
    <mergeCell ref="V16:W16"/>
    <mergeCell ref="O8:P8"/>
    <mergeCell ref="O12:P12"/>
    <mergeCell ref="O16:P16"/>
    <mergeCell ref="A7:A9"/>
    <mergeCell ref="A11:A13"/>
    <mergeCell ref="A15:A17"/>
    <mergeCell ref="H8:I8"/>
    <mergeCell ref="H12:I12"/>
    <mergeCell ref="H16:I16"/>
    <mergeCell ref="R7:T7"/>
    <mergeCell ref="R11:T11"/>
    <mergeCell ref="R15:T15"/>
    <mergeCell ref="V8:W8"/>
    <mergeCell ref="V12:W12"/>
    <mergeCell ref="G1:T1"/>
    <mergeCell ref="A5:T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analise financ ciclo curto</vt:lpstr>
      <vt:lpstr>analise financ ciclo longo 1111</vt:lpstr>
      <vt:lpstr>analise financ ciclo longo 816</vt:lpstr>
      <vt:lpstr>decisões de investimento 1</vt:lpstr>
      <vt:lpstr>analise com custo da terra</vt:lpstr>
      <vt:lpstr>plantio x habib´s</vt:lpstr>
      <vt:lpstr>pl apoio informacoes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cp:lastPrinted>2013-09-27T11:05:15Z</cp:lastPrinted>
  <dcterms:created xsi:type="dcterms:W3CDTF">2013-08-29T14:26:40Z</dcterms:created>
  <dcterms:modified xsi:type="dcterms:W3CDTF">2014-01-31T18:19:43Z</dcterms:modified>
</cp:coreProperties>
</file>